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T:\Operations\Lean Operations\GRID&amp;PRG Upgrades\"/>
    </mc:Choice>
  </mc:AlternateContent>
  <xr:revisionPtr revIDLastSave="0" documentId="8_{38341514-5F87-41EA-A306-FCD003F705AA}" xr6:coauthVersionLast="47" xr6:coauthVersionMax="47" xr10:uidLastSave="{00000000-0000-0000-0000-000000000000}"/>
  <bookViews>
    <workbookView xWindow="-120" yWindow="-120" windowWidth="29040" windowHeight="15720" xr2:uid="{00000000-000D-0000-FFFF-FFFF00000000}"/>
  </bookViews>
  <sheets>
    <sheet name="PHASE LIST" sheetId="3" r:id="rId1"/>
    <sheet name="UNIT OF MEASURE LEGEND" sheetId="1" r:id="rId2"/>
    <sheet name="COST TYPE LEGEND" sheetId="2" r:id="rId3"/>
  </sheets>
  <definedNames>
    <definedName name="_xlnm.Print_Area" localSheetId="0">'PHASE LIST'!$A$1:$H$129</definedName>
    <definedName name="_xlnm.Print_Titles" localSheetId="0">'PHASE LIST'!$A:$G,'PHASE LIST'!$19:$19</definedName>
    <definedName name="Z_D41564A3_D4EB_11D3_8141_00C04F352D9A_.wvu.PrintArea" localSheetId="0" hidden="1">'PHASE LIST'!$A$1:$G$124</definedName>
    <definedName name="Z_D41564A3_D4EB_11D3_8141_00C04F352D9A_.wvu.PrintTitles" localSheetId="0" hidden="1">'PHASE LIST'!$A:$G,'PHASE LIST'!$1:$19</definedName>
  </definedNames>
  <calcPr calcId="191028"/>
  <customWorkbookViews>
    <customWorkbookView name="Beth Dillsworth - Personal View" guid="{D41564A3-D4EB-11D3-8141-00C04F352D9A}" mergeInterval="0" personalView="1" maximized="1" windowWidth="1020" windowHeight="60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5" i="3" l="1"/>
  <c r="B104" i="3"/>
  <c r="A104" i="3"/>
  <c r="B87" i="3"/>
  <c r="A88" i="3"/>
  <c r="A87" i="3"/>
  <c r="A62" i="3"/>
  <c r="A61" i="3"/>
  <c r="A60" i="3"/>
  <c r="A59" i="3"/>
  <c r="A58" i="3"/>
  <c r="B102" i="3"/>
  <c r="A102" i="3"/>
  <c r="A101" i="3"/>
  <c r="B101" i="3"/>
  <c r="A84" i="3"/>
  <c r="A83" i="3"/>
  <c r="B83" i="3"/>
  <c r="A70" i="3"/>
  <c r="A69" i="3"/>
  <c r="B71" i="3"/>
  <c r="B69" i="3"/>
  <c r="A72" i="3"/>
  <c r="A71" i="3"/>
  <c r="A90" i="3"/>
  <c r="A89" i="3"/>
  <c r="B89" i="3"/>
  <c r="A78" i="3"/>
  <c r="A77" i="3"/>
  <c r="B77" i="3"/>
  <c r="A76" i="3"/>
  <c r="A75" i="3"/>
  <c r="B75" i="3"/>
  <c r="A74" i="3"/>
  <c r="A73" i="3"/>
  <c r="B73" i="3"/>
  <c r="A82" i="3"/>
  <c r="A81" i="3"/>
  <c r="B81" i="3"/>
  <c r="A80" i="3"/>
  <c r="A79" i="3"/>
  <c r="B79" i="3"/>
  <c r="B67" i="3"/>
  <c r="A68" i="3"/>
  <c r="A67" i="3"/>
  <c r="G62" i="3"/>
  <c r="G24" i="3" l="1"/>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3" i="3"/>
  <c r="G64" i="3"/>
  <c r="G65" i="3"/>
  <c r="G66" i="3"/>
  <c r="G67" i="3"/>
  <c r="G68" i="3" s="1"/>
  <c r="G69" i="3"/>
  <c r="G70" i="3" s="1"/>
  <c r="G71" i="3"/>
  <c r="G72" i="3" s="1"/>
  <c r="G73" i="3"/>
  <c r="G74" i="3" s="1"/>
  <c r="G75" i="3"/>
  <c r="G76" i="3" s="1"/>
  <c r="G77" i="3"/>
  <c r="G78" i="3" s="1"/>
  <c r="G79" i="3"/>
  <c r="G80" i="3" s="1"/>
  <c r="G81" i="3"/>
  <c r="G82" i="3" s="1"/>
  <c r="G83" i="3"/>
  <c r="G84" i="3" s="1"/>
  <c r="G85" i="3"/>
  <c r="G86" i="3" s="1"/>
  <c r="G87" i="3"/>
  <c r="G88" i="3" s="1"/>
  <c r="G89" i="3"/>
  <c r="G90" i="3" s="1"/>
  <c r="G91" i="3"/>
  <c r="G92" i="3" s="1"/>
  <c r="G93" i="3"/>
  <c r="G94" i="3" s="1"/>
  <c r="G95" i="3"/>
  <c r="G96" i="3" s="1"/>
  <c r="G97" i="3"/>
  <c r="G98" i="3" s="1"/>
  <c r="G99" i="3"/>
  <c r="G100" i="3" s="1"/>
  <c r="G101" i="3"/>
  <c r="G103" i="3"/>
  <c r="G104" i="3"/>
  <c r="G105" i="3"/>
  <c r="G106" i="3"/>
  <c r="G107" i="3"/>
  <c r="G108" i="3"/>
  <c r="G109" i="3"/>
  <c r="G110" i="3"/>
  <c r="G102" i="3"/>
  <c r="G111" i="3"/>
  <c r="G112" i="3"/>
  <c r="G113" i="3"/>
  <c r="G114" i="3"/>
  <c r="G115" i="3"/>
  <c r="G116" i="3"/>
  <c r="G117" i="3"/>
  <c r="G118" i="3"/>
  <c r="G119" i="3"/>
  <c r="G120" i="3"/>
  <c r="G121" i="3"/>
  <c r="G122" i="3"/>
  <c r="G123" i="3"/>
  <c r="G124" i="3"/>
  <c r="G125" i="3"/>
  <c r="G126" i="3" s="1"/>
  <c r="G127" i="3"/>
  <c r="G128" i="3"/>
  <c r="G129" i="3"/>
  <c r="G23" i="3"/>
  <c r="B122" i="3" l="1"/>
  <c r="A107" i="3" l="1"/>
  <c r="A55" i="3"/>
  <c r="A54" i="3"/>
  <c r="B72" i="3"/>
  <c r="A129" i="3"/>
  <c r="A44" i="3"/>
  <c r="A53" i="3"/>
  <c r="A52" i="3"/>
  <c r="A51" i="3"/>
  <c r="A50" i="3"/>
  <c r="A49" i="3"/>
  <c r="A48" i="3"/>
  <c r="A47" i="3"/>
  <c r="A46" i="3"/>
  <c r="B97" i="3"/>
  <c r="B98" i="3" s="1"/>
  <c r="D126" i="3"/>
  <c r="D100" i="3"/>
  <c r="D98" i="3"/>
  <c r="D96" i="3"/>
  <c r="D94" i="3"/>
  <c r="D92" i="3"/>
  <c r="D90" i="3"/>
  <c r="D88" i="3"/>
  <c r="D86" i="3"/>
  <c r="D84" i="3"/>
  <c r="D82" i="3"/>
  <c r="D80" i="3"/>
  <c r="D78" i="3"/>
  <c r="D76" i="3"/>
  <c r="D74" i="3"/>
  <c r="D72" i="3"/>
  <c r="D70" i="3"/>
  <c r="D68" i="3"/>
  <c r="A39" i="3"/>
  <c r="A38" i="3"/>
  <c r="A37" i="3"/>
  <c r="B36" i="3"/>
  <c r="A36" i="3"/>
  <c r="B35" i="3"/>
  <c r="A35" i="3"/>
  <c r="B34" i="3"/>
  <c r="A34" i="3"/>
  <c r="B33" i="3"/>
  <c r="A33" i="3"/>
  <c r="B31" i="3"/>
  <c r="A31" i="3"/>
  <c r="B30" i="3"/>
  <c r="A30" i="3"/>
  <c r="B29" i="3"/>
  <c r="A29" i="3"/>
  <c r="B28" i="3"/>
  <c r="A28" i="3"/>
  <c r="B27" i="3"/>
  <c r="A27" i="3"/>
  <c r="B26" i="3"/>
  <c r="A26" i="3"/>
  <c r="B25" i="3"/>
  <c r="A25" i="3"/>
  <c r="A23" i="3"/>
  <c r="A22" i="3"/>
  <c r="A121" i="3"/>
  <c r="A66" i="3"/>
  <c r="A43" i="3"/>
  <c r="A119" i="3"/>
  <c r="A110" i="3"/>
  <c r="A64" i="3"/>
  <c r="G21" i="3"/>
  <c r="A126" i="3"/>
  <c r="B66" i="3"/>
  <c r="B64" i="3"/>
  <c r="B43" i="3"/>
  <c r="A100" i="3"/>
  <c r="A98" i="3"/>
  <c r="A96" i="3"/>
  <c r="A94" i="3"/>
  <c r="A92" i="3"/>
  <c r="A86" i="3"/>
  <c r="B125" i="3"/>
  <c r="B126" i="3" s="1"/>
  <c r="A125" i="3"/>
  <c r="B123" i="3"/>
  <c r="A123" i="3"/>
  <c r="A122" i="3"/>
  <c r="B116" i="3"/>
  <c r="A116" i="3"/>
  <c r="B115" i="3"/>
  <c r="A115" i="3"/>
  <c r="B114" i="3"/>
  <c r="A114" i="3"/>
  <c r="B113" i="3"/>
  <c r="A113" i="3"/>
  <c r="B112" i="3"/>
  <c r="A112" i="3"/>
  <c r="B111" i="3"/>
  <c r="A111" i="3"/>
  <c r="B108" i="3"/>
  <c r="A108" i="3"/>
  <c r="A106" i="3"/>
  <c r="B103" i="3"/>
  <c r="A103" i="3"/>
  <c r="B99" i="3"/>
  <c r="B100" i="3"/>
  <c r="A99" i="3"/>
  <c r="A97" i="3"/>
  <c r="B95" i="3"/>
  <c r="B96" i="3"/>
  <c r="A95" i="3"/>
  <c r="B93" i="3"/>
  <c r="B94" i="3" s="1"/>
  <c r="A93" i="3"/>
  <c r="B91" i="3"/>
  <c r="B92" i="3"/>
  <c r="A91" i="3"/>
  <c r="B90" i="3"/>
  <c r="B88" i="3"/>
  <c r="B85" i="3"/>
  <c r="B86" i="3"/>
  <c r="A85" i="3"/>
  <c r="B84" i="3"/>
  <c r="B82" i="3"/>
  <c r="B80" i="3"/>
  <c r="B78" i="3"/>
  <c r="B76" i="3"/>
  <c r="B74" i="3"/>
  <c r="B70" i="3"/>
  <c r="B68" i="3"/>
  <c r="A45" i="3"/>
  <c r="G131" i="3" l="1"/>
</calcChain>
</file>

<file path=xl/sharedStrings.xml><?xml version="1.0" encoding="utf-8"?>
<sst xmlns="http://schemas.openxmlformats.org/spreadsheetml/2006/main" count="278" uniqueCount="197">
  <si>
    <t>SUBJECT</t>
  </si>
  <si>
    <t>NUMBER</t>
  </si>
  <si>
    <t>VERSION</t>
  </si>
  <si>
    <t>DATE REVISED</t>
  </si>
  <si>
    <t>Job Name:</t>
  </si>
  <si>
    <t>Contract Value:</t>
  </si>
  <si>
    <t>Job No.:</t>
  </si>
  <si>
    <t>Bid DY Profit:</t>
  </si>
  <si>
    <t>Prjt. Mgr.:</t>
  </si>
  <si>
    <t>Prjt. Acct.</t>
  </si>
  <si>
    <t>Burden Rate:</t>
  </si>
  <si>
    <t>APPROVAL &amp; REVIEW</t>
  </si>
  <si>
    <t>DATE</t>
  </si>
  <si>
    <t>DATE INITIAL SET-UP GIVEN TO PA:</t>
  </si>
  <si>
    <t>PM INITIALS:</t>
  </si>
  <si>
    <t>DATE RETURNED TO PM FOR REVIEW &amp; APPROVAL OF JOB SET-UP:</t>
  </si>
  <si>
    <t>TA INITIALS:</t>
  </si>
  <si>
    <t>FINAL APPROVAL:</t>
  </si>
  <si>
    <t>IBU INITIALS:</t>
  </si>
  <si>
    <r>
      <rPr>
        <b/>
        <sz val="12"/>
        <rFont val="Times New Roman"/>
        <family val="1"/>
      </rPr>
      <t xml:space="preserve">Cost Types: </t>
    </r>
    <r>
      <rPr>
        <b/>
        <sz val="9.5"/>
        <rFont val="Times New Roman"/>
        <family val="1"/>
      </rPr>
      <t xml:space="preserve"> LD=1      LB=2      M=3      S=4      A=5      RE=6      RY=7      RI=8      I=9      O=10      NR=11   REV=12</t>
    </r>
  </si>
  <si>
    <t>When you change Columns F/G for LD lines the LB line will automatically update.</t>
  </si>
  <si>
    <t>PHASE #</t>
  </si>
  <si>
    <t>DESCRIPTION</t>
  </si>
  <si>
    <t>COST TYPE</t>
  </si>
  <si>
    <t>U/M</t>
  </si>
  <si>
    <t>QTY</t>
  </si>
  <si>
    <t>UNIT COST</t>
  </si>
  <si>
    <t>TOTAL COST</t>
  </si>
  <si>
    <t>Performance &amp; Payment Bond</t>
  </si>
  <si>
    <t>LS</t>
  </si>
  <si>
    <t>Permit - Building</t>
  </si>
  <si>
    <t>Permit - Soils Erosion &amp; Sedimentation Control</t>
  </si>
  <si>
    <t>Permit - NPDES</t>
  </si>
  <si>
    <t>00890-05</t>
  </si>
  <si>
    <t>Tap Fees</t>
  </si>
  <si>
    <t>Allowances  (Owner) &lt;specify type&gt;</t>
  </si>
  <si>
    <t>Allowances  (Granger) &lt;specify type&gt;</t>
  </si>
  <si>
    <t>Granger Self Perform-Rework</t>
  </si>
  <si>
    <t>Warranty Issues</t>
  </si>
  <si>
    <t>REVENUE</t>
  </si>
  <si>
    <t>Staff Revenue Reserve</t>
  </si>
  <si>
    <t>Bond Revenue Reserve</t>
  </si>
  <si>
    <t>Insurance Revenue Reserve</t>
  </si>
  <si>
    <t>Sub Risk Revenue Reserve</t>
  </si>
  <si>
    <t>Other Revenue Reserve (Specify)</t>
  </si>
  <si>
    <t>HR</t>
  </si>
  <si>
    <t>MI</t>
  </si>
  <si>
    <t>Phones</t>
  </si>
  <si>
    <t>MO</t>
  </si>
  <si>
    <t>Mobile Data Cards</t>
  </si>
  <si>
    <t>CONSTRUCTION DOCUMENTS</t>
  </si>
  <si>
    <t>01320-60</t>
  </si>
  <si>
    <t>PlanGrid Licenses (non-GCC users)</t>
  </si>
  <si>
    <t>QUALITY REQUIREMENTS</t>
  </si>
  <si>
    <t>QUALITY CONTROL SERVICES</t>
  </si>
  <si>
    <t>EA</t>
  </si>
  <si>
    <t>TR</t>
  </si>
  <si>
    <t>DY</t>
  </si>
  <si>
    <t>SF</t>
  </si>
  <si>
    <t>LF</t>
  </si>
  <si>
    <t>WK</t>
  </si>
  <si>
    <t>TEMP for PM Subcontract Writing</t>
  </si>
  <si>
    <t xml:space="preserve">Total Estimate </t>
  </si>
  <si>
    <t>CODE</t>
  </si>
  <si>
    <t>$</t>
  </si>
  <si>
    <t>Dollars</t>
  </si>
  <si>
    <t>MB</t>
  </si>
  <si>
    <t>1000 Board Ft-Lumb.</t>
  </si>
  <si>
    <t>%</t>
  </si>
  <si>
    <t>Percent</t>
  </si>
  <si>
    <t>MG</t>
  </si>
  <si>
    <t>1000 gals per unit</t>
  </si>
  <si>
    <t>AC</t>
  </si>
  <si>
    <t>Acres</t>
  </si>
  <si>
    <t>ML</t>
  </si>
  <si>
    <t>Miles</t>
  </si>
  <si>
    <t>BG</t>
  </si>
  <si>
    <t>Bags</t>
  </si>
  <si>
    <t>Months</t>
  </si>
  <si>
    <t>BD</t>
  </si>
  <si>
    <t>Bundle</t>
  </si>
  <si>
    <t>PA</t>
  </si>
  <si>
    <t>Pails</t>
  </si>
  <si>
    <t>BF</t>
  </si>
  <si>
    <t>Board Feet of Lumber</t>
  </si>
  <si>
    <t>PC</t>
  </si>
  <si>
    <t>Pieces</t>
  </si>
  <si>
    <t>BX</t>
  </si>
  <si>
    <t>Box</t>
  </si>
  <si>
    <t>PK</t>
  </si>
  <si>
    <t>Packages</t>
  </si>
  <si>
    <t>BL</t>
  </si>
  <si>
    <t>Barrels</t>
  </si>
  <si>
    <t>PL</t>
  </si>
  <si>
    <t>Plates</t>
  </si>
  <si>
    <t>BR</t>
  </si>
  <si>
    <t>Bars</t>
  </si>
  <si>
    <t>PN</t>
  </si>
  <si>
    <t>Panels</t>
  </si>
  <si>
    <t>BS</t>
  </si>
  <si>
    <t>Building Square Footage</t>
  </si>
  <si>
    <t>PR</t>
  </si>
  <si>
    <t>Pairs</t>
  </si>
  <si>
    <t>CA</t>
  </si>
  <si>
    <t>Contact Area</t>
  </si>
  <si>
    <t>PS</t>
  </si>
  <si>
    <t># of Parking Spaces</t>
  </si>
  <si>
    <t>CS</t>
  </si>
  <si>
    <t>Cases</t>
  </si>
  <si>
    <t>RL</t>
  </si>
  <si>
    <t>Rolls</t>
  </si>
  <si>
    <t>CF</t>
  </si>
  <si>
    <t>Cubic Feet Volume</t>
  </si>
  <si>
    <t>SA</t>
  </si>
  <si>
    <t>Screed Area</t>
  </si>
  <si>
    <t>CT</t>
  </si>
  <si>
    <t>Cartons</t>
  </si>
  <si>
    <t>SE</t>
  </si>
  <si>
    <t>Sets</t>
  </si>
  <si>
    <t>CY</t>
  </si>
  <si>
    <t>Cubic Yard Volume</t>
  </si>
  <si>
    <t>Square Feet</t>
  </si>
  <si>
    <t>DR</t>
  </si>
  <si>
    <t>Drums</t>
  </si>
  <si>
    <t>SH</t>
  </si>
  <si>
    <t>Sheets</t>
  </si>
  <si>
    <t>Days</t>
  </si>
  <si>
    <t>SK</t>
  </si>
  <si>
    <t>Sacks</t>
  </si>
  <si>
    <t>Each</t>
  </si>
  <si>
    <t>SI</t>
  </si>
  <si>
    <t>Squares</t>
  </si>
  <si>
    <t>FX</t>
  </si>
  <si>
    <t>Fixtures</t>
  </si>
  <si>
    <t>Square Inches</t>
  </si>
  <si>
    <t>FL</t>
  </si>
  <si>
    <t>Number of Floors</t>
  </si>
  <si>
    <t>ST</t>
  </si>
  <si>
    <t># of Stations</t>
  </si>
  <si>
    <t>FS</t>
  </si>
  <si>
    <t>Floor Square Footage</t>
  </si>
  <si>
    <t>SP</t>
  </si>
  <si>
    <t>Steps</t>
  </si>
  <si>
    <t>GL</t>
  </si>
  <si>
    <t>Gallon</t>
  </si>
  <si>
    <t>SY</t>
  </si>
  <si>
    <t>Square Yards</t>
  </si>
  <si>
    <t>Hours</t>
  </si>
  <si>
    <t>TB</t>
  </si>
  <si>
    <t>Tubes</t>
  </si>
  <si>
    <t>HW</t>
  </si>
  <si>
    <t>Finish Hardware Groups</t>
  </si>
  <si>
    <t>TN</t>
  </si>
  <si>
    <t>Tons</t>
  </si>
  <si>
    <t>KG</t>
  </si>
  <si>
    <t>Kegs</t>
  </si>
  <si>
    <t>Trips</t>
  </si>
  <si>
    <t>LB</t>
  </si>
  <si>
    <t>Pounds</t>
  </si>
  <si>
    <t>UN</t>
  </si>
  <si>
    <t>Units</t>
  </si>
  <si>
    <t>Linear Feet</t>
  </si>
  <si>
    <t>VL</t>
  </si>
  <si>
    <t>Vertical Linear Feet</t>
  </si>
  <si>
    <t>Lump Sum</t>
  </si>
  <si>
    <t>Weeks</t>
  </si>
  <si>
    <t>n/a</t>
  </si>
  <si>
    <t>No U/M Required</t>
  </si>
  <si>
    <t xml:space="preserve">Cost Type </t>
  </si>
  <si>
    <t>Description</t>
  </si>
  <si>
    <t>LD</t>
  </si>
  <si>
    <t>Labor</t>
  </si>
  <si>
    <t>Burden</t>
  </si>
  <si>
    <t>M</t>
  </si>
  <si>
    <t>Materials/Purchase Orders</t>
  </si>
  <si>
    <t>S</t>
  </si>
  <si>
    <t>Subcontractors/PSA</t>
  </si>
  <si>
    <t>A</t>
  </si>
  <si>
    <t>Allowance</t>
  </si>
  <si>
    <t>RE</t>
  </si>
  <si>
    <t xml:space="preserve">Rental Equipment </t>
  </si>
  <si>
    <t>RY</t>
  </si>
  <si>
    <t>Equipment Rental From The Yard</t>
  </si>
  <si>
    <t>RI</t>
  </si>
  <si>
    <t xml:space="preserve">Information Technology Inhouse Rental </t>
  </si>
  <si>
    <t>I</t>
  </si>
  <si>
    <t>Indirect</t>
  </si>
  <si>
    <t>O</t>
  </si>
  <si>
    <t>Other</t>
  </si>
  <si>
    <t>NR</t>
  </si>
  <si>
    <t>Non-Reimbursable (Unrecoverable)</t>
  </si>
  <si>
    <t>REV</t>
  </si>
  <si>
    <t>Revenue</t>
  </si>
  <si>
    <t>01230</t>
  </si>
  <si>
    <t>AC006FR PC</t>
  </si>
  <si>
    <t>Precon Subs-to-Write</t>
  </si>
  <si>
    <t>New Job Set Up
Preconstruction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</si>
</sst>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_(&quot;$&quot;* #,##0_);_(&quot;$&quot;* \(#,##0\);_(&quot;$&quot;* &quot;-&quot;??_);_(@_)"/>
    <numFmt numFmtId="165" formatCode="&quot;$&quot;#,##0"/>
  </numFmts>
  <fonts count="16" x14ac:knownFonts="1">
    <font>
      <sz val="10"/>
      <name val="Arial"/>
    </font>
    <font>
      <sz val="10"/>
      <name val="Arial"/>
      <family val="2"/>
    </font>
    <font>
      <b/>
      <u/>
      <sz val="10"/>
      <name val="Arial"/>
      <family val="2"/>
    </font>
    <font>
      <b/>
      <sz val="10"/>
      <name val="Times New Roman"/>
      <family val="1"/>
    </font>
    <font>
      <sz val="10"/>
      <name val="Times New Roman"/>
      <family val="1"/>
    </font>
    <font>
      <b/>
      <sz val="12"/>
      <name val="Times New Roman"/>
      <family val="1"/>
    </font>
    <font>
      <b/>
      <sz val="8"/>
      <name val="Times New Roman"/>
      <family val="1"/>
    </font>
    <font>
      <sz val="11"/>
      <name val="Times New Roman"/>
      <family val="1"/>
    </font>
    <font>
      <b/>
      <sz val="11"/>
      <name val="Times New Roman"/>
      <family val="1"/>
    </font>
    <font>
      <sz val="12"/>
      <name val="Times New Roman"/>
      <family val="1"/>
    </font>
    <font>
      <b/>
      <sz val="9.5"/>
      <name val="Times New Roman"/>
      <family val="1"/>
    </font>
    <font>
      <sz val="11"/>
      <color theme="1"/>
      <name val="Times New Roman"/>
      <family val="1"/>
    </font>
    <font>
      <b/>
      <sz val="11"/>
      <color theme="1"/>
      <name val="Times New Roman"/>
      <family val="1"/>
    </font>
    <font>
      <b/>
      <sz val="12"/>
      <color theme="1"/>
      <name val="Times New Roman"/>
      <family val="1"/>
    </font>
    <font>
      <sz val="12"/>
      <color theme="1"/>
      <name val="Times New Roman"/>
      <family val="1"/>
    </font>
    <font>
      <b/>
      <u/>
      <sz val="14"/>
      <name val="Times New Roman"/>
      <family val="1"/>
    </font>
  </fonts>
  <fills count="5">
    <fill>
      <patternFill patternType="none"/>
    </fill>
    <fill>
      <patternFill patternType="gray125"/>
    </fill>
    <fill>
      <patternFill patternType="solid">
        <fgColor indexed="47"/>
        <bgColor indexed="64"/>
      </patternFill>
    </fill>
    <fill>
      <patternFill patternType="solid">
        <fgColor theme="0" tint="-0.34998626667073579"/>
        <bgColor indexed="64"/>
      </patternFill>
    </fill>
    <fill>
      <patternFill patternType="solid">
        <fgColor theme="3" tint="0.59999389629810485"/>
        <bgColor indexed="64"/>
      </patternFill>
    </fill>
  </fills>
  <borders count="12">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0" xfId="0" applyAlignment="1">
      <alignment horizontal="left"/>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4" fillId="0" borderId="0" xfId="0" applyFont="1" applyAlignment="1">
      <alignment horizontal="center"/>
    </xf>
    <xf numFmtId="0" fontId="6" fillId="0" borderId="4" xfId="0" applyFont="1" applyBorder="1"/>
    <xf numFmtId="0" fontId="6" fillId="0" borderId="6" xfId="0" applyFont="1" applyBorder="1" applyAlignment="1">
      <alignment horizontal="center" wrapText="1"/>
    </xf>
    <xf numFmtId="14" fontId="3" fillId="0" borderId="6" xfId="0" applyNumberFormat="1" applyFont="1" applyBorder="1" applyAlignment="1">
      <alignment horizontal="center"/>
    </xf>
    <xf numFmtId="0" fontId="6" fillId="0" borderId="5" xfId="0" applyFont="1" applyBorder="1" applyAlignment="1">
      <alignment horizontal="center"/>
    </xf>
    <xf numFmtId="0" fontId="5" fillId="0" borderId="0" xfId="0" applyFont="1"/>
    <xf numFmtId="0" fontId="8" fillId="0" borderId="3" xfId="0" applyFont="1" applyBorder="1"/>
    <xf numFmtId="0" fontId="8" fillId="0" borderId="0" xfId="0" applyFont="1"/>
    <xf numFmtId="0" fontId="8" fillId="0" borderId="5" xfId="0" applyFont="1" applyBorder="1"/>
    <xf numFmtId="0" fontId="8" fillId="0" borderId="0" xfId="0" applyFont="1" applyAlignment="1">
      <alignment horizontal="center"/>
    </xf>
    <xf numFmtId="0" fontId="8" fillId="0" borderId="0" xfId="0" applyFont="1" applyAlignment="1">
      <alignment horizontal="left"/>
    </xf>
    <xf numFmtId="0" fontId="7" fillId="0" borderId="1" xfId="0" applyFont="1" applyBorder="1"/>
    <xf numFmtId="0" fontId="6" fillId="0" borderId="6" xfId="0" applyFont="1" applyBorder="1" applyAlignment="1">
      <alignment horizontal="center"/>
    </xf>
    <xf numFmtId="0" fontId="3" fillId="0" borderId="6" xfId="0" applyFont="1" applyBorder="1" applyAlignment="1">
      <alignment horizontal="center"/>
    </xf>
    <xf numFmtId="0" fontId="5" fillId="0" borderId="0" xfId="0" applyFont="1" applyAlignment="1">
      <alignment horizontal="center"/>
    </xf>
    <xf numFmtId="9" fontId="8" fillId="0" borderId="0" xfId="0" applyNumberFormat="1" applyFont="1" applyAlignment="1">
      <alignment horizontal="center"/>
    </xf>
    <xf numFmtId="0" fontId="7" fillId="0" borderId="1" xfId="0" applyFont="1" applyBorder="1" applyAlignment="1">
      <alignment horizontal="center"/>
    </xf>
    <xf numFmtId="0" fontId="7" fillId="0" borderId="0" xfId="0" applyFont="1"/>
    <xf numFmtId="0" fontId="7" fillId="0" borderId="3" xfId="0" applyFont="1" applyBorder="1"/>
    <xf numFmtId="0" fontId="8" fillId="0" borderId="1" xfId="0" applyFont="1" applyBorder="1"/>
    <xf numFmtId="0" fontId="0" fillId="0" borderId="0" xfId="0" applyAlignment="1">
      <alignment horizontal="right"/>
    </xf>
    <xf numFmtId="0" fontId="3" fillId="2" borderId="6" xfId="0" applyFont="1" applyFill="1" applyBorder="1" applyAlignment="1">
      <alignment wrapText="1"/>
    </xf>
    <xf numFmtId="0" fontId="3" fillId="2" borderId="6" xfId="0" applyFont="1" applyFill="1" applyBorder="1" applyAlignment="1">
      <alignment horizontal="center" wrapText="1"/>
    </xf>
    <xf numFmtId="0" fontId="3" fillId="0" borderId="1" xfId="0" applyFont="1" applyBorder="1"/>
    <xf numFmtId="0" fontId="8" fillId="0" borderId="8" xfId="0" applyFont="1" applyBorder="1"/>
    <xf numFmtId="0" fontId="10" fillId="0" borderId="9" xfId="0" applyFont="1" applyBorder="1"/>
    <xf numFmtId="0" fontId="10" fillId="0" borderId="2" xfId="0" applyFont="1" applyBorder="1"/>
    <xf numFmtId="0" fontId="10" fillId="0" borderId="0" xfId="0" applyFont="1" applyAlignment="1">
      <alignment horizontal="right"/>
    </xf>
    <xf numFmtId="0" fontId="10" fillId="0" borderId="3" xfId="0" applyFont="1" applyBorder="1" applyAlignment="1">
      <alignment horizontal="right"/>
    </xf>
    <xf numFmtId="0" fontId="10" fillId="0" borderId="0" xfId="0" applyFont="1"/>
    <xf numFmtId="0" fontId="7" fillId="0" borderId="0" xfId="0" applyFont="1" applyAlignment="1">
      <alignment horizontal="center"/>
    </xf>
    <xf numFmtId="0" fontId="11" fillId="0" borderId="6" xfId="0" applyFont="1" applyBorder="1"/>
    <xf numFmtId="0" fontId="11" fillId="0" borderId="5" xfId="0" applyFont="1" applyBorder="1" applyAlignment="1">
      <alignment horizontal="center"/>
    </xf>
    <xf numFmtId="0" fontId="11" fillId="0" borderId="6" xfId="0" applyFont="1" applyBorder="1" applyAlignment="1">
      <alignment horizontal="center"/>
    </xf>
    <xf numFmtId="0" fontId="7" fillId="0" borderId="6" xfId="0" applyFont="1" applyBorder="1" applyAlignment="1">
      <alignment horizontal="center"/>
    </xf>
    <xf numFmtId="1" fontId="11" fillId="0" borderId="6" xfId="0" applyNumberFormat="1" applyFont="1" applyBorder="1"/>
    <xf numFmtId="0" fontId="12" fillId="0" borderId="6" xfId="0" applyFont="1" applyBorder="1"/>
    <xf numFmtId="44" fontId="7" fillId="0" borderId="6" xfId="1" applyFont="1" applyBorder="1" applyAlignment="1">
      <alignment horizontal="center"/>
    </xf>
    <xf numFmtId="1" fontId="12" fillId="0" borderId="6" xfId="0" applyNumberFormat="1" applyFont="1" applyBorder="1"/>
    <xf numFmtId="0" fontId="9" fillId="0" borderId="5" xfId="0" applyFont="1" applyBorder="1"/>
    <xf numFmtId="0" fontId="5" fillId="0" borderId="0" xfId="0" applyFont="1" applyAlignment="1">
      <alignment horizontal="left"/>
    </xf>
    <xf numFmtId="0" fontId="9" fillId="0" borderId="0" xfId="0" applyFont="1" applyAlignment="1">
      <alignment horizontal="center"/>
    </xf>
    <xf numFmtId="0" fontId="8" fillId="0" borderId="6" xfId="0" applyFont="1" applyBorder="1" applyAlignment="1">
      <alignment horizontal="center"/>
    </xf>
    <xf numFmtId="0" fontId="8" fillId="2" borderId="6" xfId="0" applyFont="1" applyFill="1" applyBorder="1" applyAlignment="1">
      <alignment wrapText="1"/>
    </xf>
    <xf numFmtId="0" fontId="8" fillId="2" borderId="6" xfId="0" applyFont="1" applyFill="1" applyBorder="1" applyAlignment="1">
      <alignment horizontal="center" wrapText="1"/>
    </xf>
    <xf numFmtId="0" fontId="8" fillId="2" borderId="5" xfId="0" applyFont="1" applyFill="1" applyBorder="1" applyAlignment="1">
      <alignment horizontal="center" wrapText="1"/>
    </xf>
    <xf numFmtId="3" fontId="7" fillId="0" borderId="6" xfId="0" applyNumberFormat="1" applyFont="1" applyBorder="1" applyAlignment="1">
      <alignment horizontal="center"/>
    </xf>
    <xf numFmtId="164" fontId="8" fillId="0" borderId="0" xfId="1" applyNumberFormat="1" applyFont="1" applyBorder="1"/>
    <xf numFmtId="0" fontId="9" fillId="2" borderId="6" xfId="0" applyFont="1" applyFill="1" applyBorder="1" applyAlignment="1">
      <alignment horizontal="center" wrapText="1"/>
    </xf>
    <xf numFmtId="0" fontId="13" fillId="0" borderId="6" xfId="0" applyFont="1" applyBorder="1"/>
    <xf numFmtId="0" fontId="5" fillId="0" borderId="6" xfId="0" applyFont="1" applyBorder="1" applyAlignment="1">
      <alignment horizontal="center"/>
    </xf>
    <xf numFmtId="0" fontId="13" fillId="0" borderId="5" xfId="0" applyFont="1" applyBorder="1" applyAlignment="1">
      <alignment horizontal="center"/>
    </xf>
    <xf numFmtId="165" fontId="5" fillId="0" borderId="6" xfId="1" applyNumberFormat="1" applyFont="1" applyBorder="1" applyAlignment="1">
      <alignment horizontal="center"/>
    </xf>
    <xf numFmtId="0" fontId="9" fillId="0" borderId="0" xfId="0" applyFont="1"/>
    <xf numFmtId="0" fontId="14" fillId="0" borderId="6" xfId="0" applyFont="1" applyBorder="1"/>
    <xf numFmtId="0" fontId="9" fillId="0" borderId="6" xfId="0" applyFont="1" applyBorder="1" applyAlignment="1">
      <alignment horizontal="center"/>
    </xf>
    <xf numFmtId="0" fontId="14" fillId="0" borderId="5" xfId="0" applyFont="1" applyBorder="1" applyAlignment="1">
      <alignment horizontal="center"/>
    </xf>
    <xf numFmtId="1" fontId="14" fillId="0" borderId="6" xfId="0" applyNumberFormat="1" applyFont="1" applyBorder="1"/>
    <xf numFmtId="0" fontId="13" fillId="0" borderId="6" xfId="0" applyFont="1" applyBorder="1" applyAlignment="1">
      <alignment horizontal="center"/>
    </xf>
    <xf numFmtId="0" fontId="14" fillId="0" borderId="6" xfId="0" applyFont="1" applyBorder="1" applyAlignment="1">
      <alignment horizontal="center"/>
    </xf>
    <xf numFmtId="3" fontId="7" fillId="0" borderId="4" xfId="0" applyNumberFormat="1" applyFont="1" applyBorder="1" applyAlignment="1">
      <alignment horizontal="center"/>
    </xf>
    <xf numFmtId="0" fontId="15" fillId="0" borderId="0" xfId="0" applyFont="1"/>
    <xf numFmtId="7" fontId="8" fillId="2" borderId="6" xfId="0" applyNumberFormat="1" applyFont="1" applyFill="1" applyBorder="1" applyAlignment="1">
      <alignment horizontal="center" wrapText="1"/>
    </xf>
    <xf numFmtId="7" fontId="7" fillId="0" borderId="6" xfId="2" applyNumberFormat="1" applyFont="1" applyFill="1" applyBorder="1" applyAlignment="1">
      <alignment horizontal="center"/>
    </xf>
    <xf numFmtId="7" fontId="5" fillId="0" borderId="6" xfId="2" applyNumberFormat="1" applyFont="1" applyFill="1" applyBorder="1" applyAlignment="1">
      <alignment horizontal="center"/>
    </xf>
    <xf numFmtId="7" fontId="9" fillId="0" borderId="6" xfId="2" applyNumberFormat="1" applyFont="1" applyFill="1" applyBorder="1" applyAlignment="1">
      <alignment horizontal="center"/>
    </xf>
    <xf numFmtId="7" fontId="0" fillId="0" borderId="0" xfId="0" applyNumberFormat="1"/>
    <xf numFmtId="0" fontId="7" fillId="0" borderId="9" xfId="0" applyFont="1" applyBorder="1"/>
    <xf numFmtId="0" fontId="8" fillId="0" borderId="9" xfId="0" applyFont="1" applyBorder="1" applyAlignment="1">
      <alignment horizontal="center"/>
    </xf>
    <xf numFmtId="44" fontId="8" fillId="0" borderId="3" xfId="1" applyFont="1" applyBorder="1" applyAlignment="1"/>
    <xf numFmtId="0" fontId="5" fillId="3" borderId="0" xfId="0" applyFont="1" applyFill="1"/>
    <xf numFmtId="0" fontId="5" fillId="3" borderId="0" xfId="0" applyFont="1" applyFill="1" applyAlignment="1">
      <alignment horizontal="center"/>
    </xf>
    <xf numFmtId="0" fontId="4" fillId="0" borderId="0" xfId="0" applyFont="1" applyAlignment="1">
      <alignment wrapText="1"/>
    </xf>
    <xf numFmtId="0" fontId="0" fillId="4" borderId="0" xfId="0" applyFill="1"/>
    <xf numFmtId="0" fontId="1" fillId="4" borderId="0" xfId="0" applyFont="1" applyFill="1"/>
    <xf numFmtId="0" fontId="1" fillId="4" borderId="0" xfId="0" applyFont="1" applyFill="1" applyAlignment="1">
      <alignment horizontal="right"/>
    </xf>
    <xf numFmtId="9" fontId="8" fillId="0" borderId="3" xfId="0" applyNumberFormat="1" applyFont="1" applyBorder="1"/>
    <xf numFmtId="44" fontId="8" fillId="0" borderId="5" xfId="1" applyFont="1" applyBorder="1" applyAlignment="1"/>
    <xf numFmtId="0" fontId="3" fillId="0" borderId="0" xfId="0" applyFont="1" applyAlignment="1">
      <alignment wrapText="1"/>
    </xf>
    <xf numFmtId="7" fontId="4" fillId="0" borderId="0" xfId="0" applyNumberFormat="1" applyFont="1" applyAlignment="1">
      <alignment horizontal="center"/>
    </xf>
    <xf numFmtId="1" fontId="13" fillId="0" borderId="6" xfId="0" quotePrefix="1" applyNumberFormat="1" applyFont="1" applyBorder="1"/>
    <xf numFmtId="0" fontId="1" fillId="0" borderId="0" xfId="0" applyFont="1" applyAlignment="1">
      <alignment horizontal="right"/>
    </xf>
    <xf numFmtId="0" fontId="1" fillId="0" borderId="0" xfId="0" applyFont="1"/>
    <xf numFmtId="0" fontId="7"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xf>
    <xf numFmtId="0" fontId="6" fillId="0" borderId="6" xfId="0" applyFont="1" applyBorder="1" applyAlignment="1">
      <alignment horizontal="center"/>
    </xf>
    <xf numFmtId="0" fontId="10" fillId="0" borderId="1" xfId="0" applyFont="1" applyBorder="1" applyAlignment="1">
      <alignment horizontal="left"/>
    </xf>
    <xf numFmtId="0" fontId="8" fillId="0" borderId="3" xfId="0" applyFont="1" applyBorder="1" applyAlignment="1">
      <alignment horizontal="center"/>
    </xf>
    <xf numFmtId="0" fontId="7" fillId="0" borderId="3" xfId="0" applyFont="1" applyBorder="1" applyAlignment="1">
      <alignment horizontal="center"/>
    </xf>
    <xf numFmtId="0" fontId="3" fillId="0" borderId="1" xfId="0" applyFont="1" applyBorder="1" applyAlignment="1">
      <alignment horizontal="center"/>
    </xf>
    <xf numFmtId="0" fontId="3" fillId="0" borderId="8" xfId="0" applyFont="1" applyBorder="1" applyAlignment="1">
      <alignment horizontal="center" wrapText="1"/>
    </xf>
    <xf numFmtId="0" fontId="3" fillId="0" borderId="7" xfId="0" applyFont="1" applyBorder="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3" fillId="0" borderId="10"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1" xfId="0" applyFont="1" applyBorder="1" applyAlignment="1">
      <alignment horizontal="center"/>
    </xf>
  </cellXfs>
  <cellStyles count="3">
    <cellStyle name="Currency" xfId="1" builtinId="4"/>
    <cellStyle name="Normal" xfId="0" builtinId="0"/>
    <cellStyle name="Percent" xfId="2" builtinId="5"/>
  </cellStyles>
  <dxfs count="2">
    <dxf>
      <fill>
        <patternFill>
          <bgColor rgb="FF00B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651845</xdr:colOff>
      <xdr:row>0</xdr:row>
      <xdr:rowOff>-3025</xdr:rowOff>
    </xdr:from>
    <xdr:to>
      <xdr:col>1</xdr:col>
      <xdr:colOff>1907240</xdr:colOff>
      <xdr:row>4</xdr:row>
      <xdr:rowOff>104215</xdr:rowOff>
    </xdr:to>
    <xdr:pic>
      <xdr:nvPicPr>
        <xdr:cNvPr id="3" name="Picture 2" descr="Color---Grey-Granger-Logo-FINAL.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651845" y="-3025"/>
          <a:ext cx="2398395" cy="793040"/>
        </a:xfrm>
        <a:prstGeom prst="rect">
          <a:avLst/>
        </a:prstGeom>
      </xdr:spPr>
    </xdr:pic>
    <xdr:clientData/>
  </xdr:twoCellAnchor>
  <xdr:twoCellAnchor>
    <xdr:from>
      <xdr:col>8</xdr:col>
      <xdr:colOff>336176</xdr:colOff>
      <xdr:row>1</xdr:row>
      <xdr:rowOff>44823</xdr:rowOff>
    </xdr:from>
    <xdr:to>
      <xdr:col>18</xdr:col>
      <xdr:colOff>337196</xdr:colOff>
      <xdr:row>18</xdr:row>
      <xdr:rowOff>280147</xdr:rowOff>
    </xdr:to>
    <xdr:sp macro="" textlink="">
      <xdr:nvSpPr>
        <xdr:cNvPr id="4" name="TextBox 3">
          <a:extLst>
            <a:ext uri="{FF2B5EF4-FFF2-40B4-BE49-F238E27FC236}">
              <a16:creationId xmlns:a16="http://schemas.microsoft.com/office/drawing/2014/main" id="{5E961C30-49FB-4B92-9854-7D60BA56088E}"/>
            </a:ext>
          </a:extLst>
        </xdr:cNvPr>
        <xdr:cNvSpPr txBox="1"/>
      </xdr:nvSpPr>
      <xdr:spPr>
        <a:xfrm>
          <a:off x="8662147" y="201705"/>
          <a:ext cx="6052196" cy="472888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Work Instructions for completing this form:</a:t>
          </a:r>
        </a:p>
        <a:p>
          <a:r>
            <a:rPr lang="en-US" sz="1100" u="none">
              <a:solidFill>
                <a:srgbClr val="C00000"/>
              </a:solidFill>
            </a:rPr>
            <a:t>This form should</a:t>
          </a:r>
          <a:r>
            <a:rPr lang="en-US" sz="1100" u="none" baseline="0">
              <a:solidFill>
                <a:srgbClr val="C00000"/>
              </a:solidFill>
            </a:rPr>
            <a:t> be completed, and submitted to your Project Accountant (PA), </a:t>
          </a:r>
          <a:r>
            <a:rPr lang="en-US" sz="1100" u="sng" baseline="0">
              <a:solidFill>
                <a:srgbClr val="C00000"/>
              </a:solidFill>
            </a:rPr>
            <a:t>PRIOR</a:t>
          </a:r>
          <a:r>
            <a:rPr lang="en-US" sz="1100" u="none" baseline="0">
              <a:solidFill>
                <a:srgbClr val="C00000"/>
              </a:solidFill>
            </a:rPr>
            <a:t> to having charges hit your project.</a:t>
          </a:r>
          <a:endParaRPr lang="en-US" sz="1100" u="none">
            <a:solidFill>
              <a:srgbClr val="C00000"/>
            </a:solidFill>
          </a:endParaRPr>
        </a:p>
        <a:p>
          <a:endParaRPr lang="en-US" sz="1100" u="sng"/>
        </a:p>
        <a:p>
          <a:r>
            <a:rPr lang="en-US" sz="1100"/>
            <a:t>1.</a:t>
          </a:r>
          <a:r>
            <a:rPr lang="en-US" sz="1100" baseline="0"/>
            <a:t> </a:t>
          </a:r>
          <a:r>
            <a:rPr lang="en-US" sz="1100"/>
            <a:t>Complete project information at top of form. Fill in the</a:t>
          </a:r>
          <a:r>
            <a:rPr lang="en-US" sz="1100" baseline="0"/>
            <a:t> correct Burden Rate in Row 10.</a:t>
          </a:r>
          <a:endParaRPr lang="en-US" sz="1100"/>
        </a:p>
        <a:p>
          <a:endParaRPr lang="en-US" sz="1100"/>
        </a:p>
        <a:p>
          <a:r>
            <a:rPr lang="en-US" sz="1100"/>
            <a:t>2. Fill in the unit</a:t>
          </a:r>
          <a:r>
            <a:rPr lang="en-US" sz="1100" baseline="0"/>
            <a:t> cost</a:t>
          </a:r>
          <a:r>
            <a:rPr lang="en-US" sz="1100"/>
            <a:t> amount and quanitity</a:t>
          </a:r>
          <a:r>
            <a:rPr lang="en-US" sz="1100" baseline="0"/>
            <a:t> </a:t>
          </a:r>
          <a:r>
            <a:rPr lang="en-US" sz="1100"/>
            <a:t>for all known phases in the columns called "Unit Costs and "QTY"</a:t>
          </a:r>
          <a:r>
            <a:rPr lang="en-US" sz="1100" baseline="0"/>
            <a:t> respectively;</a:t>
          </a:r>
          <a:r>
            <a:rPr lang="en-US" sz="1100"/>
            <a:t> the"Total Costs" column will calculate.</a:t>
          </a:r>
        </a:p>
        <a:p>
          <a:endParaRPr lang="en-US" sz="1100"/>
        </a:p>
        <a:p>
          <a:r>
            <a:rPr lang="en-US" sz="1100"/>
            <a:t>You will</a:t>
          </a:r>
          <a:r>
            <a:rPr lang="en-US" sz="1100" baseline="0"/>
            <a:t> want to be sure to pay attention to the COST TYPE and make sure you are filling in the budget amounts on the correct row for the cost type you want setup. Reference the Cost Types in Row 16 and/or on the Cost Type Legends tab if you are not sure which cost type to use. </a:t>
          </a:r>
          <a:endParaRPr lang="en-US" sz="1100"/>
        </a:p>
        <a:p>
          <a:pPr lvl="1"/>
          <a:endParaRPr lang="en-US" sz="1100">
            <a:solidFill>
              <a:srgbClr val="FF0000"/>
            </a:solidFill>
          </a:endParaRPr>
        </a:p>
        <a:p>
          <a:pPr lvl="1"/>
          <a:r>
            <a:rPr lang="en-US" sz="1100">
              <a:solidFill>
                <a:srgbClr val="FF0000"/>
              </a:solidFill>
            </a:rPr>
            <a:t>NOTE: </a:t>
          </a:r>
          <a:r>
            <a:rPr lang="en-US" sz="1100"/>
            <a:t>If you do not know the budget amount, but you know that you will need this phase available in the future, highlight the cell </a:t>
          </a:r>
          <a:r>
            <a:rPr lang="en-US" sz="1100" b="1">
              <a:solidFill>
                <a:srgbClr val="92D050"/>
              </a:solidFill>
            </a:rPr>
            <a:t>green</a:t>
          </a:r>
          <a:r>
            <a:rPr lang="en-US" sz="1100"/>
            <a:t> so that it can be set up during the initial setup with $0 budget.</a:t>
          </a:r>
        </a:p>
        <a:p>
          <a:pPr lvl="1"/>
          <a:endParaRPr lang="en-US" sz="1100"/>
        </a:p>
        <a:p>
          <a:pPr lvl="1"/>
          <a:r>
            <a:rPr lang="en-US" sz="1100">
              <a:solidFill>
                <a:srgbClr val="FF0000"/>
              </a:solidFill>
              <a:effectLst/>
              <a:latin typeface="+mn-lt"/>
              <a:ea typeface="+mn-ea"/>
              <a:cs typeface="+mn-cs"/>
            </a:rPr>
            <a:t>NOTE: </a:t>
          </a:r>
          <a:r>
            <a:rPr lang="en-US" sz="1100"/>
            <a:t>When completing</a:t>
          </a:r>
          <a:r>
            <a:rPr lang="en-US" sz="1100" baseline="0"/>
            <a:t> your allowance phases</a:t>
          </a:r>
          <a:r>
            <a:rPr lang="en-US" sz="1100"/>
            <a:t>,</a:t>
          </a:r>
          <a:r>
            <a:rPr lang="en-US" sz="1100" baseline="0"/>
            <a:t> make sure you name the allowance what you want them called in Viewpoint.</a:t>
          </a:r>
        </a:p>
        <a:p>
          <a:pPr lvl="0"/>
          <a:endParaRPr lang="en-US" sz="1100" baseline="0"/>
        </a:p>
        <a:p>
          <a:pPr lvl="1"/>
          <a:r>
            <a:rPr lang="en-US" sz="1100">
              <a:solidFill>
                <a:srgbClr val="FF0000"/>
              </a:solidFill>
              <a:effectLst/>
              <a:latin typeface="+mn-lt"/>
              <a:ea typeface="+mn-ea"/>
              <a:cs typeface="+mn-cs"/>
            </a:rPr>
            <a:t>NOTE: </a:t>
          </a:r>
          <a:r>
            <a:rPr lang="en-US" sz="1100" baseline="0"/>
            <a:t>There is a section of phases called "Revenue". In this section, you will set up phases for profit reserves. Any profit that you are expecting to receive from Staffing, Bond, Insurance, or Sub Risk should be put into these phases. If you have additional profit that you would like to show in a reserve you can request additional phases.</a:t>
          </a:r>
          <a:endParaRPr lang="en-US" sz="1100"/>
        </a:p>
        <a:p>
          <a:pPr lvl="1"/>
          <a:endParaRPr lang="en-US" sz="1100"/>
        </a:p>
        <a:p>
          <a:pPr lvl="0"/>
          <a:r>
            <a:rPr lang="en-US" sz="1100"/>
            <a:t>3.</a:t>
          </a:r>
          <a:r>
            <a:rPr lang="en-US" sz="1100" baseline="0"/>
            <a:t> Email the </a:t>
          </a:r>
          <a:r>
            <a:rPr lang="en-US" sz="1100" u="sng" baseline="0"/>
            <a:t>excel</a:t>
          </a:r>
          <a:r>
            <a:rPr lang="en-US" sz="1100" baseline="0"/>
            <a:t> file to your PA.</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3"/>
  <sheetViews>
    <sheetView tabSelected="1" view="pageBreakPreview" zoomScale="110" zoomScaleNormal="85" zoomScaleSheetLayoutView="110" workbookViewId="0">
      <selection activeCell="F6" sqref="F6"/>
    </sheetView>
  </sheetViews>
  <sheetFormatPr defaultColWidth="9.140625" defaultRowHeight="15.75" outlineLevelRow="1" x14ac:dyDescent="0.25"/>
  <cols>
    <col min="1" max="1" width="17.140625" style="4" customWidth="1"/>
    <col min="2" max="2" width="45.7109375" style="4" customWidth="1"/>
    <col min="3" max="3" width="6.28515625" style="6" customWidth="1"/>
    <col min="4" max="4" width="5" style="4" customWidth="1"/>
    <col min="5" max="5" width="9.7109375" style="47" customWidth="1"/>
    <col min="6" max="6" width="14.42578125" style="6" customWidth="1"/>
    <col min="7" max="7" width="15.5703125" style="6" customWidth="1"/>
    <col min="8" max="8" width="11" style="4" customWidth="1"/>
    <col min="9" max="16384" width="9.140625" style="4"/>
  </cols>
  <sheetData>
    <row r="1" spans="1:9" ht="12.75" customHeight="1" x14ac:dyDescent="0.25">
      <c r="D1" s="7" t="s">
        <v>0</v>
      </c>
      <c r="E1" s="45"/>
      <c r="F1" s="10"/>
      <c r="G1" s="92" t="s">
        <v>1</v>
      </c>
      <c r="H1" s="92"/>
    </row>
    <row r="2" spans="1:9" ht="15.75" customHeight="1" x14ac:dyDescent="0.2">
      <c r="D2" s="97" t="s">
        <v>196</v>
      </c>
      <c r="E2" s="96"/>
      <c r="F2" s="98"/>
      <c r="G2" s="91" t="s">
        <v>194</v>
      </c>
      <c r="H2" s="91"/>
    </row>
    <row r="3" spans="1:9" ht="12.75" customHeight="1" x14ac:dyDescent="0.2">
      <c r="D3" s="99"/>
      <c r="E3" s="100"/>
      <c r="F3" s="101"/>
      <c r="G3" s="18" t="s">
        <v>2</v>
      </c>
      <c r="H3" s="8" t="s">
        <v>3</v>
      </c>
    </row>
    <row r="4" spans="1:9" ht="12.75" customHeight="1" x14ac:dyDescent="0.2">
      <c r="D4" s="102"/>
      <c r="E4" s="103"/>
      <c r="F4" s="104"/>
      <c r="G4" s="19">
        <v>1</v>
      </c>
      <c r="H4" s="9">
        <v>44853</v>
      </c>
    </row>
    <row r="5" spans="1:9" x14ac:dyDescent="0.25">
      <c r="H5" s="6"/>
    </row>
    <row r="6" spans="1:9" x14ac:dyDescent="0.25">
      <c r="H6" s="6"/>
    </row>
    <row r="7" spans="1:9" s="13" customFormat="1" ht="24.95" customHeight="1" x14ac:dyDescent="0.25">
      <c r="A7" s="16" t="s">
        <v>4</v>
      </c>
      <c r="B7" s="12"/>
      <c r="C7" s="15"/>
      <c r="E7" s="46" t="s">
        <v>5</v>
      </c>
      <c r="G7" s="75"/>
      <c r="H7" s="12"/>
    </row>
    <row r="8" spans="1:9" s="13" customFormat="1" ht="24.95" customHeight="1" x14ac:dyDescent="0.25">
      <c r="A8" s="16" t="s">
        <v>6</v>
      </c>
      <c r="B8" s="14"/>
      <c r="C8" s="15"/>
      <c r="E8" s="11" t="s">
        <v>7</v>
      </c>
      <c r="G8" s="83"/>
      <c r="H8" s="14"/>
    </row>
    <row r="9" spans="1:9" s="13" customFormat="1" ht="24.95" customHeight="1" x14ac:dyDescent="0.25">
      <c r="A9" s="16" t="s">
        <v>8</v>
      </c>
      <c r="B9" s="14"/>
      <c r="C9" s="15"/>
      <c r="E9" s="11"/>
      <c r="F9" s="15"/>
      <c r="G9" s="15"/>
      <c r="H9" s="15"/>
    </row>
    <row r="10" spans="1:9" s="13" customFormat="1" ht="24.95" customHeight="1" x14ac:dyDescent="0.25">
      <c r="A10" s="16" t="s">
        <v>9</v>
      </c>
      <c r="B10" s="14"/>
      <c r="C10" s="15"/>
      <c r="E10" s="11" t="s">
        <v>10</v>
      </c>
      <c r="G10" s="82"/>
      <c r="H10" s="12"/>
    </row>
    <row r="11" spans="1:9" s="13" customFormat="1" ht="24.95" customHeight="1" x14ac:dyDescent="0.25">
      <c r="A11" s="16"/>
      <c r="B11" s="25"/>
      <c r="C11" s="15"/>
      <c r="E11" s="11"/>
      <c r="H11" s="21"/>
      <c r="I11" s="21"/>
    </row>
    <row r="12" spans="1:9" s="13" customFormat="1" ht="24.95" customHeight="1" x14ac:dyDescent="0.25">
      <c r="A12" s="30" t="s">
        <v>11</v>
      </c>
      <c r="B12" s="17"/>
      <c r="C12" s="22"/>
      <c r="D12" s="96" t="s">
        <v>12</v>
      </c>
      <c r="E12" s="96"/>
      <c r="F12" s="29"/>
      <c r="G12" s="90"/>
      <c r="H12" s="22"/>
      <c r="I12" s="73"/>
    </row>
    <row r="13" spans="1:9" s="13" customFormat="1" ht="24.95" customHeight="1" x14ac:dyDescent="0.2">
      <c r="A13" s="31" t="s">
        <v>13</v>
      </c>
      <c r="B13" s="4"/>
      <c r="C13" s="15"/>
      <c r="D13" s="94"/>
      <c r="E13" s="94"/>
      <c r="G13" s="33" t="s">
        <v>14</v>
      </c>
      <c r="H13" s="12"/>
      <c r="I13" s="74"/>
    </row>
    <row r="14" spans="1:9" s="13" customFormat="1" ht="24.95" customHeight="1" x14ac:dyDescent="0.25">
      <c r="A14" s="31" t="s">
        <v>15</v>
      </c>
      <c r="B14" s="4"/>
      <c r="C14" s="36"/>
      <c r="D14" s="95"/>
      <c r="E14" s="95"/>
      <c r="F14" s="23"/>
      <c r="G14" s="33" t="s">
        <v>16</v>
      </c>
      <c r="H14" s="12"/>
      <c r="I14" s="74"/>
    </row>
    <row r="15" spans="1:9" s="13" customFormat="1" ht="24.95" customHeight="1" x14ac:dyDescent="0.25">
      <c r="A15" s="32" t="s">
        <v>17</v>
      </c>
      <c r="B15" s="24"/>
      <c r="C15" s="89"/>
      <c r="D15" s="94"/>
      <c r="E15" s="94"/>
      <c r="F15" s="89"/>
      <c r="G15" s="34" t="s">
        <v>18</v>
      </c>
      <c r="H15" s="12"/>
      <c r="I15" s="74"/>
    </row>
    <row r="16" spans="1:9" s="13" customFormat="1" x14ac:dyDescent="0.25">
      <c r="A16" s="93" t="s">
        <v>19</v>
      </c>
      <c r="B16" s="93"/>
      <c r="C16" s="93"/>
      <c r="D16" s="93"/>
      <c r="E16" s="93"/>
      <c r="F16" s="93"/>
      <c r="G16" s="33"/>
    </row>
    <row r="17" spans="1:8" s="13" customFormat="1" ht="27.75" customHeight="1" x14ac:dyDescent="0.25">
      <c r="A17" s="35"/>
      <c r="B17" s="23"/>
      <c r="C17" s="36"/>
      <c r="D17" s="15"/>
      <c r="E17" s="20"/>
      <c r="F17" s="36"/>
      <c r="G17" s="33"/>
    </row>
    <row r="18" spans="1:8" s="5" customFormat="1" x14ac:dyDescent="0.25">
      <c r="A18" s="76" t="s">
        <v>20</v>
      </c>
      <c r="B18" s="76"/>
      <c r="C18" s="77"/>
      <c r="D18" s="77"/>
      <c r="E18" s="77"/>
      <c r="F18" s="77"/>
      <c r="G18" s="20"/>
      <c r="H18" s="11"/>
    </row>
    <row r="19" spans="1:8" s="5" customFormat="1" ht="26.25" x14ac:dyDescent="0.25">
      <c r="A19" s="27" t="s">
        <v>21</v>
      </c>
      <c r="B19" s="27" t="s">
        <v>22</v>
      </c>
      <c r="C19" s="28" t="s">
        <v>23</v>
      </c>
      <c r="D19" s="28" t="s">
        <v>24</v>
      </c>
      <c r="E19" s="54" t="s">
        <v>25</v>
      </c>
      <c r="F19" s="28" t="s">
        <v>26</v>
      </c>
      <c r="G19" s="28" t="s">
        <v>27</v>
      </c>
      <c r="H19" s="11"/>
    </row>
    <row r="20" spans="1:8" s="13" customFormat="1" ht="14.25" x14ac:dyDescent="0.2">
      <c r="A20" s="49"/>
      <c r="B20" s="49"/>
      <c r="C20" s="50"/>
      <c r="D20" s="51"/>
      <c r="E20" s="50"/>
      <c r="F20" s="50"/>
      <c r="G20" s="68"/>
    </row>
    <row r="21" spans="1:8" s="23" customFormat="1" ht="15" x14ac:dyDescent="0.25">
      <c r="A21" s="37"/>
      <c r="B21" s="37"/>
      <c r="C21" s="40"/>
      <c r="D21" s="38"/>
      <c r="E21" s="52"/>
      <c r="F21" s="43"/>
      <c r="G21" s="69" t="str">
        <f>IF(C21=11,E21*F21,(IF(C21=10,E21*F21,(IF(C21=9,E21*F21,(IF(C21=8,E21*F21,(IF(C21=7,E21*F21,(IF(C21=6,E21*F21,(IF(C21=5,E21*F21,(IF(C21=4,E21*F21,(IF(C21=3,E21*F21*1.06,(IF(C21=2,E21*F21*$G$10,(IF(C21=1,E21*F21,"")))))))))))))))))))))</f>
        <v/>
      </c>
    </row>
    <row r="22" spans="1:8" x14ac:dyDescent="0.25">
      <c r="A22" s="55" t="str">
        <f>"00610"</f>
        <v>00610</v>
      </c>
      <c r="B22" s="55" t="s">
        <v>28</v>
      </c>
      <c r="C22" s="56"/>
      <c r="D22" s="57"/>
      <c r="E22" s="64"/>
      <c r="F22" s="58"/>
      <c r="G22" s="70"/>
      <c r="H22" s="59"/>
    </row>
    <row r="23" spans="1:8" x14ac:dyDescent="0.25">
      <c r="A23" s="60" t="str">
        <f>"00610"</f>
        <v>00610</v>
      </c>
      <c r="B23" s="60" t="s">
        <v>28</v>
      </c>
      <c r="C23" s="61"/>
      <c r="D23" s="62" t="s">
        <v>29</v>
      </c>
      <c r="E23" s="65"/>
      <c r="F23" s="43">
        <v>0</v>
      </c>
      <c r="G23" s="71">
        <f>IF(C23=2,G22*$G$10,IF(AND(E23="",C23=3),0,IF(AND(E23&gt;=1,C23=3),E23*F23*1.06,IF(D23="","",IF(E23="",0,F23*E23)))))</f>
        <v>0</v>
      </c>
      <c r="H23" s="59"/>
    </row>
    <row r="24" spans="1:8" s="23" customFormat="1" x14ac:dyDescent="0.25">
      <c r="A24" s="37"/>
      <c r="B24" s="37"/>
      <c r="C24" s="40"/>
      <c r="D24" s="52"/>
      <c r="E24" s="65"/>
      <c r="F24" s="43"/>
      <c r="G24" s="71" t="str">
        <f t="shared" ref="G24:G88" si="0">IF(C24=2,G23*$G$10,IF(AND(E24="",C24=3),0,IF(AND(E24&gt;=1,C24=3),E24*F24*1.06,IF(D24="","",IF(E24="",0,F24*E24)))))</f>
        <v/>
      </c>
    </row>
    <row r="25" spans="1:8" x14ac:dyDescent="0.25">
      <c r="A25" s="55" t="str">
        <f>"00620"</f>
        <v>00620</v>
      </c>
      <c r="B25" s="55" t="str">
        <f>"Insurance"</f>
        <v>Insurance</v>
      </c>
      <c r="C25" s="56"/>
      <c r="D25" s="57" t="s">
        <v>29</v>
      </c>
      <c r="E25" s="65"/>
      <c r="F25" s="43"/>
      <c r="G25" s="71">
        <f t="shared" si="0"/>
        <v>0</v>
      </c>
      <c r="H25" s="59"/>
    </row>
    <row r="26" spans="1:8" x14ac:dyDescent="0.25">
      <c r="A26" s="63" t="str">
        <f>"00620-00"</f>
        <v>00620-00</v>
      </c>
      <c r="B26" s="60" t="str">
        <f>"Sub Liability"</f>
        <v>Sub Liability</v>
      </c>
      <c r="C26" s="61"/>
      <c r="D26" s="62" t="s">
        <v>29</v>
      </c>
      <c r="E26" s="65"/>
      <c r="F26" s="43">
        <v>0</v>
      </c>
      <c r="G26" s="71">
        <f t="shared" si="0"/>
        <v>0</v>
      </c>
      <c r="H26" s="59"/>
    </row>
    <row r="27" spans="1:8" x14ac:dyDescent="0.25">
      <c r="A27" s="63" t="str">
        <f>"00620-01"</f>
        <v>00620-01</v>
      </c>
      <c r="B27" s="60" t="str">
        <f>"Excess Liability"</f>
        <v>Excess Liability</v>
      </c>
      <c r="C27" s="61"/>
      <c r="D27" s="62" t="s">
        <v>29</v>
      </c>
      <c r="E27" s="65"/>
      <c r="F27" s="43">
        <v>0</v>
      </c>
      <c r="G27" s="71">
        <f t="shared" si="0"/>
        <v>0</v>
      </c>
      <c r="H27" s="59"/>
    </row>
    <row r="28" spans="1:8" x14ac:dyDescent="0.25">
      <c r="A28" s="63" t="str">
        <f>"00620-02"</f>
        <v>00620-02</v>
      </c>
      <c r="B28" s="60" t="str">
        <f>"General Liability"</f>
        <v>General Liability</v>
      </c>
      <c r="C28" s="61"/>
      <c r="D28" s="62" t="s">
        <v>29</v>
      </c>
      <c r="E28" s="65"/>
      <c r="F28" s="43">
        <v>0</v>
      </c>
      <c r="G28" s="71">
        <f t="shared" si="0"/>
        <v>0</v>
      </c>
      <c r="H28" s="59"/>
    </row>
    <row r="29" spans="1:8" x14ac:dyDescent="0.25">
      <c r="A29" s="63" t="str">
        <f>"00620-03"</f>
        <v>00620-03</v>
      </c>
      <c r="B29" s="60" t="str">
        <f>"Professional Liability"</f>
        <v>Professional Liability</v>
      </c>
      <c r="C29" s="61"/>
      <c r="D29" s="62" t="s">
        <v>29</v>
      </c>
      <c r="E29" s="65"/>
      <c r="F29" s="43">
        <v>0</v>
      </c>
      <c r="G29" s="71">
        <f t="shared" si="0"/>
        <v>0</v>
      </c>
      <c r="H29" s="59"/>
    </row>
    <row r="30" spans="1:8" x14ac:dyDescent="0.25">
      <c r="A30" s="63" t="str">
        <f>"00620-04"</f>
        <v>00620-04</v>
      </c>
      <c r="B30" s="60" t="str">
        <f>"Builders Risk Insurance"</f>
        <v>Builders Risk Insurance</v>
      </c>
      <c r="C30" s="61"/>
      <c r="D30" s="62" t="s">
        <v>29</v>
      </c>
      <c r="E30" s="65"/>
      <c r="F30" s="43">
        <v>0</v>
      </c>
      <c r="G30" s="71">
        <f t="shared" si="0"/>
        <v>0</v>
      </c>
      <c r="H30" s="59"/>
    </row>
    <row r="31" spans="1:8" x14ac:dyDescent="0.25">
      <c r="A31" s="63" t="str">
        <f>"00620-05"</f>
        <v>00620-05</v>
      </c>
      <c r="B31" s="60" t="str">
        <f>"Owner's Liability"</f>
        <v>Owner's Liability</v>
      </c>
      <c r="C31" s="61"/>
      <c r="D31" s="62" t="s">
        <v>29</v>
      </c>
      <c r="E31" s="65"/>
      <c r="F31" s="43">
        <v>0</v>
      </c>
      <c r="G31" s="71">
        <f t="shared" si="0"/>
        <v>0</v>
      </c>
      <c r="H31" s="59"/>
    </row>
    <row r="32" spans="1:8" s="23" customFormat="1" x14ac:dyDescent="0.25">
      <c r="A32" s="41"/>
      <c r="B32" s="37"/>
      <c r="C32" s="40"/>
      <c r="D32" s="66"/>
      <c r="E32" s="65"/>
      <c r="F32" s="43"/>
      <c r="G32" s="71" t="str">
        <f t="shared" si="0"/>
        <v/>
      </c>
    </row>
    <row r="33" spans="1:8" x14ac:dyDescent="0.25">
      <c r="A33" s="55" t="str">
        <f>"00800"</f>
        <v>00800</v>
      </c>
      <c r="B33" s="55" t="str">
        <f>"Supplementary Conditions"</f>
        <v>Supplementary Conditions</v>
      </c>
      <c r="C33" s="56"/>
      <c r="D33" s="57"/>
      <c r="E33" s="65"/>
      <c r="F33" s="43"/>
      <c r="G33" s="71" t="str">
        <f t="shared" si="0"/>
        <v/>
      </c>
      <c r="H33" s="59"/>
    </row>
    <row r="34" spans="1:8" x14ac:dyDescent="0.25">
      <c r="A34" s="60" t="str">
        <f>"00810"</f>
        <v>00810</v>
      </c>
      <c r="B34" s="60" t="str">
        <f>"Health and Safety Criteria"</f>
        <v>Health and Safety Criteria</v>
      </c>
      <c r="C34" s="61"/>
      <c r="D34" s="62" t="s">
        <v>29</v>
      </c>
      <c r="E34" s="65"/>
      <c r="F34" s="43">
        <v>0</v>
      </c>
      <c r="G34" s="71">
        <f t="shared" si="0"/>
        <v>0</v>
      </c>
      <c r="H34" s="59"/>
    </row>
    <row r="35" spans="1:8" x14ac:dyDescent="0.25">
      <c r="A35" s="60" t="str">
        <f>"00820"</f>
        <v>00820</v>
      </c>
      <c r="B35" s="60" t="str">
        <f>"Specific Project Requirements"</f>
        <v>Specific Project Requirements</v>
      </c>
      <c r="C35" s="61"/>
      <c r="D35" s="62" t="s">
        <v>29</v>
      </c>
      <c r="E35" s="65"/>
      <c r="F35" s="43">
        <v>0</v>
      </c>
      <c r="G35" s="71">
        <f t="shared" si="0"/>
        <v>0</v>
      </c>
      <c r="H35" s="59"/>
    </row>
    <row r="36" spans="1:8" x14ac:dyDescent="0.25">
      <c r="A36" s="60" t="str">
        <f>"00890"</f>
        <v>00890</v>
      </c>
      <c r="B36" s="60" t="str">
        <f>"Permits"</f>
        <v>Permits</v>
      </c>
      <c r="C36" s="61"/>
      <c r="D36" s="62" t="s">
        <v>29</v>
      </c>
      <c r="E36" s="65"/>
      <c r="F36" s="43">
        <v>0</v>
      </c>
      <c r="G36" s="71">
        <f t="shared" si="0"/>
        <v>0</v>
      </c>
      <c r="H36" s="59"/>
    </row>
    <row r="37" spans="1:8" x14ac:dyDescent="0.25">
      <c r="A37" s="63" t="str">
        <f>"00890-00"</f>
        <v>00890-00</v>
      </c>
      <c r="B37" s="60" t="s">
        <v>30</v>
      </c>
      <c r="C37" s="61"/>
      <c r="D37" s="62" t="s">
        <v>29</v>
      </c>
      <c r="E37" s="65"/>
      <c r="F37" s="43">
        <v>0</v>
      </c>
      <c r="G37" s="71">
        <f t="shared" si="0"/>
        <v>0</v>
      </c>
      <c r="H37" s="59"/>
    </row>
    <row r="38" spans="1:8" x14ac:dyDescent="0.25">
      <c r="A38" s="63" t="str">
        <f>"00890-01"</f>
        <v>00890-01</v>
      </c>
      <c r="B38" s="60" t="s">
        <v>31</v>
      </c>
      <c r="C38" s="61"/>
      <c r="D38" s="62" t="s">
        <v>29</v>
      </c>
      <c r="E38" s="65"/>
      <c r="F38" s="43">
        <v>0</v>
      </c>
      <c r="G38" s="71">
        <f t="shared" si="0"/>
        <v>0</v>
      </c>
      <c r="H38" s="59"/>
    </row>
    <row r="39" spans="1:8" x14ac:dyDescent="0.25">
      <c r="A39" s="63" t="str">
        <f>"00890-02"</f>
        <v>00890-02</v>
      </c>
      <c r="B39" s="60" t="s">
        <v>32</v>
      </c>
      <c r="C39" s="61"/>
      <c r="D39" s="62" t="s">
        <v>29</v>
      </c>
      <c r="E39" s="65"/>
      <c r="F39" s="43">
        <v>0</v>
      </c>
      <c r="G39" s="71">
        <f t="shared" si="0"/>
        <v>0</v>
      </c>
      <c r="H39" s="59"/>
    </row>
    <row r="40" spans="1:8" x14ac:dyDescent="0.25">
      <c r="A40" s="63" t="s">
        <v>33</v>
      </c>
      <c r="B40" s="60" t="s">
        <v>34</v>
      </c>
      <c r="C40" s="61"/>
      <c r="D40" s="62" t="s">
        <v>29</v>
      </c>
      <c r="E40" s="65"/>
      <c r="F40" s="43">
        <v>0</v>
      </c>
      <c r="G40" s="71">
        <f t="shared" si="0"/>
        <v>0</v>
      </c>
      <c r="H40" s="59"/>
    </row>
    <row r="41" spans="1:8" s="23" customFormat="1" x14ac:dyDescent="0.25">
      <c r="A41" s="41"/>
      <c r="B41" s="37"/>
      <c r="C41" s="40"/>
      <c r="D41" s="38"/>
      <c r="E41" s="65"/>
      <c r="F41" s="43"/>
      <c r="G41" s="71" t="str">
        <f t="shared" si="0"/>
        <v/>
      </c>
    </row>
    <row r="42" spans="1:8" s="23" customFormat="1" x14ac:dyDescent="0.25">
      <c r="A42" s="44"/>
      <c r="B42" s="42"/>
      <c r="C42" s="40"/>
      <c r="D42" s="38"/>
      <c r="E42" s="65"/>
      <c r="F42" s="43"/>
      <c r="G42" s="71" t="str">
        <f t="shared" si="0"/>
        <v/>
      </c>
    </row>
    <row r="43" spans="1:8" s="23" customFormat="1" x14ac:dyDescent="0.25">
      <c r="A43" s="42" t="str">
        <f>"01210"</f>
        <v>01210</v>
      </c>
      <c r="B43" s="42" t="str">
        <f>"ALLOWANCES"</f>
        <v>ALLOWANCES</v>
      </c>
      <c r="C43" s="48"/>
      <c r="D43" s="38"/>
      <c r="E43" s="65"/>
      <c r="F43" s="43"/>
      <c r="G43" s="71" t="str">
        <f t="shared" si="0"/>
        <v/>
      </c>
    </row>
    <row r="44" spans="1:8" s="23" customFormat="1" x14ac:dyDescent="0.25">
      <c r="A44" s="41" t="str">
        <f>"01210-00"</f>
        <v>01210-00</v>
      </c>
      <c r="B44" s="37" t="s">
        <v>35</v>
      </c>
      <c r="C44" s="40">
        <v>5</v>
      </c>
      <c r="D44" s="38" t="s">
        <v>29</v>
      </c>
      <c r="E44" s="65"/>
      <c r="F44" s="43">
        <v>0</v>
      </c>
      <c r="G44" s="71">
        <f t="shared" si="0"/>
        <v>0</v>
      </c>
    </row>
    <row r="45" spans="1:8" s="23" customFormat="1" x14ac:dyDescent="0.25">
      <c r="A45" s="41" t="str">
        <f t="shared" ref="A45" si="1">"01210-10"</f>
        <v>01210-10</v>
      </c>
      <c r="B45" s="37" t="s">
        <v>35</v>
      </c>
      <c r="C45" s="40">
        <v>5</v>
      </c>
      <c r="D45" s="38" t="s">
        <v>29</v>
      </c>
      <c r="E45" s="65"/>
      <c r="F45" s="43">
        <v>0</v>
      </c>
      <c r="G45" s="71">
        <f t="shared" si="0"/>
        <v>0</v>
      </c>
    </row>
    <row r="46" spans="1:8" s="23" customFormat="1" x14ac:dyDescent="0.25">
      <c r="A46" s="41" t="str">
        <f>"01210-20"</f>
        <v>01210-20</v>
      </c>
      <c r="B46" s="37" t="s">
        <v>35</v>
      </c>
      <c r="C46" s="40">
        <v>5</v>
      </c>
      <c r="D46" s="38" t="s">
        <v>29</v>
      </c>
      <c r="E46" s="65"/>
      <c r="F46" s="43">
        <v>0</v>
      </c>
      <c r="G46" s="71">
        <f t="shared" si="0"/>
        <v>0</v>
      </c>
    </row>
    <row r="47" spans="1:8" s="23" customFormat="1" x14ac:dyDescent="0.25">
      <c r="A47" s="41" t="str">
        <f>"01210-30"</f>
        <v>01210-30</v>
      </c>
      <c r="B47" s="37" t="s">
        <v>35</v>
      </c>
      <c r="C47" s="40">
        <v>5</v>
      </c>
      <c r="D47" s="38" t="s">
        <v>29</v>
      </c>
      <c r="E47" s="65"/>
      <c r="F47" s="43">
        <v>0</v>
      </c>
      <c r="G47" s="71">
        <f t="shared" si="0"/>
        <v>0</v>
      </c>
    </row>
    <row r="48" spans="1:8" s="23" customFormat="1" x14ac:dyDescent="0.25">
      <c r="A48" s="41" t="str">
        <f>"01210-40"</f>
        <v>01210-40</v>
      </c>
      <c r="B48" s="37" t="s">
        <v>35</v>
      </c>
      <c r="C48" s="40">
        <v>5</v>
      </c>
      <c r="D48" s="38" t="s">
        <v>29</v>
      </c>
      <c r="E48" s="65"/>
      <c r="F48" s="43">
        <v>0</v>
      </c>
      <c r="G48" s="71">
        <f t="shared" si="0"/>
        <v>0</v>
      </c>
    </row>
    <row r="49" spans="1:8" s="23" customFormat="1" x14ac:dyDescent="0.25">
      <c r="A49" s="41" t="str">
        <f>"01210-50"</f>
        <v>01210-50</v>
      </c>
      <c r="B49" s="37" t="s">
        <v>36</v>
      </c>
      <c r="C49" s="40">
        <v>5</v>
      </c>
      <c r="D49" s="38" t="s">
        <v>29</v>
      </c>
      <c r="E49" s="65"/>
      <c r="F49" s="43">
        <v>0</v>
      </c>
      <c r="G49" s="71">
        <f t="shared" si="0"/>
        <v>0</v>
      </c>
    </row>
    <row r="50" spans="1:8" s="23" customFormat="1" x14ac:dyDescent="0.25">
      <c r="A50" s="41" t="str">
        <f>"01210-60"</f>
        <v>01210-60</v>
      </c>
      <c r="B50" s="37" t="s">
        <v>36</v>
      </c>
      <c r="C50" s="40">
        <v>5</v>
      </c>
      <c r="D50" s="38" t="s">
        <v>29</v>
      </c>
      <c r="E50" s="65"/>
      <c r="F50" s="43">
        <v>0</v>
      </c>
      <c r="G50" s="71">
        <f t="shared" si="0"/>
        <v>0</v>
      </c>
    </row>
    <row r="51" spans="1:8" s="23" customFormat="1" x14ac:dyDescent="0.25">
      <c r="A51" s="41" t="str">
        <f>"01210-70"</f>
        <v>01210-70</v>
      </c>
      <c r="B51" s="37" t="s">
        <v>36</v>
      </c>
      <c r="C51" s="40">
        <v>5</v>
      </c>
      <c r="D51" s="38" t="s">
        <v>29</v>
      </c>
      <c r="E51" s="65"/>
      <c r="F51" s="43">
        <v>0</v>
      </c>
      <c r="G51" s="71">
        <f t="shared" si="0"/>
        <v>0</v>
      </c>
    </row>
    <row r="52" spans="1:8" s="23" customFormat="1" x14ac:dyDescent="0.25">
      <c r="A52" s="41" t="str">
        <f>"01210-80"</f>
        <v>01210-80</v>
      </c>
      <c r="B52" s="37" t="s">
        <v>36</v>
      </c>
      <c r="C52" s="40">
        <v>5</v>
      </c>
      <c r="D52" s="38" t="s">
        <v>29</v>
      </c>
      <c r="E52" s="65"/>
      <c r="F52" s="43">
        <v>0</v>
      </c>
      <c r="G52" s="71">
        <f t="shared" si="0"/>
        <v>0</v>
      </c>
    </row>
    <row r="53" spans="1:8" s="23" customFormat="1" x14ac:dyDescent="0.25">
      <c r="A53" s="41" t="str">
        <f>"01210-90"</f>
        <v>01210-90</v>
      </c>
      <c r="B53" s="37" t="s">
        <v>36</v>
      </c>
      <c r="C53" s="40">
        <v>5</v>
      </c>
      <c r="D53" s="38" t="s">
        <v>29</v>
      </c>
      <c r="E53" s="65"/>
      <c r="F53" s="43">
        <v>0</v>
      </c>
      <c r="G53" s="71">
        <f t="shared" si="0"/>
        <v>0</v>
      </c>
    </row>
    <row r="54" spans="1:8" x14ac:dyDescent="0.25">
      <c r="A54" s="63" t="str">
        <f>"01220-98"</f>
        <v>01220-98</v>
      </c>
      <c r="B54" s="60" t="s">
        <v>37</v>
      </c>
      <c r="C54" s="61">
        <v>10</v>
      </c>
      <c r="D54" s="38" t="s">
        <v>29</v>
      </c>
      <c r="E54" s="65"/>
      <c r="F54" s="43">
        <v>0</v>
      </c>
      <c r="G54" s="71">
        <f t="shared" si="0"/>
        <v>0</v>
      </c>
      <c r="H54" s="84"/>
    </row>
    <row r="55" spans="1:8" x14ac:dyDescent="0.25">
      <c r="A55" s="63" t="str">
        <f>"01220-99"</f>
        <v>01220-99</v>
      </c>
      <c r="B55" s="60" t="s">
        <v>38</v>
      </c>
      <c r="C55" s="61">
        <v>10</v>
      </c>
      <c r="D55" s="38" t="s">
        <v>29</v>
      </c>
      <c r="E55" s="65"/>
      <c r="F55" s="43">
        <v>0</v>
      </c>
      <c r="G55" s="71">
        <f t="shared" si="0"/>
        <v>0</v>
      </c>
      <c r="H55" s="78"/>
    </row>
    <row r="56" spans="1:8" x14ac:dyDescent="0.25">
      <c r="A56" s="63"/>
      <c r="B56" s="60"/>
      <c r="C56" s="61"/>
      <c r="D56" s="38"/>
      <c r="E56" s="65"/>
      <c r="F56" s="43"/>
      <c r="G56" s="71" t="str">
        <f t="shared" si="0"/>
        <v/>
      </c>
      <c r="H56" s="78"/>
    </row>
    <row r="57" spans="1:8" x14ac:dyDescent="0.25">
      <c r="A57" s="86" t="s">
        <v>193</v>
      </c>
      <c r="B57" s="55" t="s">
        <v>39</v>
      </c>
      <c r="C57" s="61"/>
      <c r="D57" s="38"/>
      <c r="E57" s="65"/>
      <c r="F57" s="43"/>
      <c r="G57" s="71" t="str">
        <f t="shared" si="0"/>
        <v/>
      </c>
      <c r="H57" s="78"/>
    </row>
    <row r="58" spans="1:8" x14ac:dyDescent="0.25">
      <c r="A58" s="41" t="str">
        <f>"01230-00"</f>
        <v>01230-00</v>
      </c>
      <c r="B58" s="60" t="s">
        <v>40</v>
      </c>
      <c r="C58" s="61">
        <v>12</v>
      </c>
      <c r="D58" s="38" t="s">
        <v>29</v>
      </c>
      <c r="E58" s="65"/>
      <c r="F58" s="43">
        <v>0</v>
      </c>
      <c r="G58" s="71">
        <f t="shared" si="0"/>
        <v>0</v>
      </c>
      <c r="H58" s="78"/>
    </row>
    <row r="59" spans="1:8" x14ac:dyDescent="0.25">
      <c r="A59" s="41" t="str">
        <f>"01230-10"</f>
        <v>01230-10</v>
      </c>
      <c r="B59" s="60" t="s">
        <v>41</v>
      </c>
      <c r="C59" s="61">
        <v>12</v>
      </c>
      <c r="D59" s="38" t="s">
        <v>29</v>
      </c>
      <c r="E59" s="65"/>
      <c r="F59" s="43">
        <v>0</v>
      </c>
      <c r="G59" s="71">
        <f t="shared" si="0"/>
        <v>0</v>
      </c>
      <c r="H59" s="78"/>
    </row>
    <row r="60" spans="1:8" x14ac:dyDescent="0.25">
      <c r="A60" s="41" t="str">
        <f>"01230-20"</f>
        <v>01230-20</v>
      </c>
      <c r="B60" s="60" t="s">
        <v>42</v>
      </c>
      <c r="C60" s="61">
        <v>12</v>
      </c>
      <c r="D60" s="38" t="s">
        <v>29</v>
      </c>
      <c r="E60" s="65"/>
      <c r="F60" s="43">
        <v>0</v>
      </c>
      <c r="G60" s="71">
        <f t="shared" si="0"/>
        <v>0</v>
      </c>
      <c r="H60" s="78"/>
    </row>
    <row r="61" spans="1:8" x14ac:dyDescent="0.25">
      <c r="A61" s="41" t="str">
        <f>"01230-30"</f>
        <v>01230-30</v>
      </c>
      <c r="B61" s="60" t="s">
        <v>43</v>
      </c>
      <c r="C61" s="61">
        <v>12</v>
      </c>
      <c r="D61" s="38" t="s">
        <v>29</v>
      </c>
      <c r="E61" s="65"/>
      <c r="F61" s="43">
        <v>0</v>
      </c>
      <c r="G61" s="71">
        <f t="shared" si="0"/>
        <v>0</v>
      </c>
      <c r="H61" s="78"/>
    </row>
    <row r="62" spans="1:8" x14ac:dyDescent="0.25">
      <c r="A62" s="41" t="str">
        <f>"01230-40"</f>
        <v>01230-40</v>
      </c>
      <c r="B62" s="60" t="s">
        <v>44</v>
      </c>
      <c r="C62" s="61">
        <v>12</v>
      </c>
      <c r="D62" s="38" t="s">
        <v>29</v>
      </c>
      <c r="E62" s="65"/>
      <c r="F62" s="43">
        <v>0</v>
      </c>
      <c r="G62" s="71">
        <f t="shared" si="0"/>
        <v>0</v>
      </c>
      <c r="H62" s="78"/>
    </row>
    <row r="63" spans="1:8" s="23" customFormat="1" x14ac:dyDescent="0.25">
      <c r="A63" s="41"/>
      <c r="B63" s="37"/>
      <c r="C63" s="40"/>
      <c r="D63" s="38"/>
      <c r="E63" s="65"/>
      <c r="F63" s="43"/>
      <c r="G63" s="71" t="str">
        <f>IF(C63=2,G61*$G$10,IF(AND(E63="",C63=3),0,IF(AND(E63&gt;=1,C63=3),E63*F63*1.06,IF(D63="","",IF(E63="",0,F63*E63)))))</f>
        <v/>
      </c>
    </row>
    <row r="64" spans="1:8" s="23" customFormat="1" x14ac:dyDescent="0.25">
      <c r="A64" s="42" t="str">
        <f>"01300"</f>
        <v>01300</v>
      </c>
      <c r="B64" s="42" t="str">
        <f>"ADMINISTRATION REQUIREMENTS"</f>
        <v>ADMINISTRATION REQUIREMENTS</v>
      </c>
      <c r="C64" s="40"/>
      <c r="D64" s="38"/>
      <c r="E64" s="65"/>
      <c r="F64" s="43"/>
      <c r="G64" s="71" t="str">
        <f t="shared" si="0"/>
        <v/>
      </c>
    </row>
    <row r="65" spans="1:7" s="23" customFormat="1" x14ac:dyDescent="0.25">
      <c r="A65" s="42"/>
      <c r="B65" s="42"/>
      <c r="C65" s="40"/>
      <c r="D65" s="38"/>
      <c r="E65" s="65"/>
      <c r="F65" s="43"/>
      <c r="G65" s="71" t="str">
        <f t="shared" si="0"/>
        <v/>
      </c>
    </row>
    <row r="66" spans="1:7" s="23" customFormat="1" x14ac:dyDescent="0.25">
      <c r="A66" s="42" t="str">
        <f>"01310"</f>
        <v>01310</v>
      </c>
      <c r="B66" s="42" t="str">
        <f>"PROJECT MANAGEMENT &amp; STAFF"</f>
        <v>PROJECT MANAGEMENT &amp; STAFF</v>
      </c>
      <c r="C66" s="40"/>
      <c r="D66" s="38"/>
      <c r="E66" s="65"/>
      <c r="F66" s="43"/>
      <c r="G66" s="71" t="str">
        <f t="shared" si="0"/>
        <v/>
      </c>
    </row>
    <row r="67" spans="1:7" s="23" customFormat="1" x14ac:dyDescent="0.25">
      <c r="A67" s="41" t="str">
        <f>"01310-80"</f>
        <v>01310-80</v>
      </c>
      <c r="B67" s="37" t="str">
        <f>"Precon Executive"</f>
        <v>Precon Executive</v>
      </c>
      <c r="C67" s="40">
        <v>1</v>
      </c>
      <c r="D67" s="38" t="s">
        <v>45</v>
      </c>
      <c r="E67" s="65"/>
      <c r="F67" s="43">
        <v>0</v>
      </c>
      <c r="G67" s="71">
        <f t="shared" si="0"/>
        <v>0</v>
      </c>
    </row>
    <row r="68" spans="1:7" s="23" customFormat="1" x14ac:dyDescent="0.25">
      <c r="A68" s="41" t="str">
        <f>"01310-80"</f>
        <v>01310-80</v>
      </c>
      <c r="B68" s="37" t="str">
        <f>B67</f>
        <v>Precon Executive</v>
      </c>
      <c r="C68" s="40">
        <v>2</v>
      </c>
      <c r="D68" s="38" t="str">
        <f>D67</f>
        <v>HR</v>
      </c>
      <c r="E68" s="65"/>
      <c r="F68" s="43">
        <v>0</v>
      </c>
      <c r="G68" s="71">
        <f t="shared" si="0"/>
        <v>0</v>
      </c>
    </row>
    <row r="69" spans="1:7" s="23" customFormat="1" x14ac:dyDescent="0.25">
      <c r="A69" s="41" t="str">
        <f>"01310-88"</f>
        <v>01310-88</v>
      </c>
      <c r="B69" s="37" t="str">
        <f>"Precon Estimator"</f>
        <v>Precon Estimator</v>
      </c>
      <c r="C69" s="40">
        <v>1</v>
      </c>
      <c r="D69" s="38" t="s">
        <v>45</v>
      </c>
      <c r="E69" s="65"/>
      <c r="F69" s="43">
        <v>0</v>
      </c>
      <c r="G69" s="71">
        <f t="shared" si="0"/>
        <v>0</v>
      </c>
    </row>
    <row r="70" spans="1:7" s="23" customFormat="1" x14ac:dyDescent="0.25">
      <c r="A70" s="41" t="str">
        <f>"01310-88"</f>
        <v>01310-88</v>
      </c>
      <c r="B70" s="37" t="str">
        <f>B69</f>
        <v>Precon Estimator</v>
      </c>
      <c r="C70" s="40">
        <v>2</v>
      </c>
      <c r="D70" s="38" t="str">
        <f>D69</f>
        <v>HR</v>
      </c>
      <c r="E70" s="65"/>
      <c r="F70" s="43">
        <v>0</v>
      </c>
      <c r="G70" s="71">
        <f t="shared" si="0"/>
        <v>0</v>
      </c>
    </row>
    <row r="71" spans="1:7" s="23" customFormat="1" x14ac:dyDescent="0.25">
      <c r="A71" s="41" t="str">
        <f>"01310-87"</f>
        <v>01310-87</v>
      </c>
      <c r="B71" s="37" t="str">
        <f>"Precon BIM Estimator"</f>
        <v>Precon BIM Estimator</v>
      </c>
      <c r="C71" s="40">
        <v>1</v>
      </c>
      <c r="D71" s="38" t="s">
        <v>45</v>
      </c>
      <c r="E71" s="65"/>
      <c r="F71" s="43">
        <v>0</v>
      </c>
      <c r="G71" s="71">
        <f t="shared" si="0"/>
        <v>0</v>
      </c>
    </row>
    <row r="72" spans="1:7" s="23" customFormat="1" x14ac:dyDescent="0.25">
      <c r="A72" s="41" t="str">
        <f>"01310-87"</f>
        <v>01310-87</v>
      </c>
      <c r="B72" s="37" t="str">
        <f>B71</f>
        <v>Precon BIM Estimator</v>
      </c>
      <c r="C72" s="40">
        <v>2</v>
      </c>
      <c r="D72" s="38" t="str">
        <f>D71</f>
        <v>HR</v>
      </c>
      <c r="E72" s="65"/>
      <c r="F72" s="43">
        <v>0</v>
      </c>
      <c r="G72" s="71">
        <f t="shared" si="0"/>
        <v>0</v>
      </c>
    </row>
    <row r="73" spans="1:7" s="23" customFormat="1" x14ac:dyDescent="0.25">
      <c r="A73" s="41" t="str">
        <f>"01310-83"</f>
        <v>01310-83</v>
      </c>
      <c r="B73" s="37" t="str">
        <f>"Precon Mechanical Estimator"</f>
        <v>Precon Mechanical Estimator</v>
      </c>
      <c r="C73" s="40">
        <v>1</v>
      </c>
      <c r="D73" s="38" t="s">
        <v>45</v>
      </c>
      <c r="E73" s="65"/>
      <c r="F73" s="43">
        <v>0</v>
      </c>
      <c r="G73" s="71">
        <f t="shared" si="0"/>
        <v>0</v>
      </c>
    </row>
    <row r="74" spans="1:7" s="23" customFormat="1" x14ac:dyDescent="0.25">
      <c r="A74" s="41" t="str">
        <f>"01310-83"</f>
        <v>01310-83</v>
      </c>
      <c r="B74" s="37" t="str">
        <f>B73</f>
        <v>Precon Mechanical Estimator</v>
      </c>
      <c r="C74" s="40">
        <v>2</v>
      </c>
      <c r="D74" s="38" t="str">
        <f>D73</f>
        <v>HR</v>
      </c>
      <c r="E74" s="65"/>
      <c r="F74" s="43">
        <v>0</v>
      </c>
      <c r="G74" s="71">
        <f t="shared" si="0"/>
        <v>0</v>
      </c>
    </row>
    <row r="75" spans="1:7" s="23" customFormat="1" x14ac:dyDescent="0.25">
      <c r="A75" s="41" t="str">
        <f>"01310-84"</f>
        <v>01310-84</v>
      </c>
      <c r="B75" s="37" t="str">
        <f>"Precon Electrical Estimator"</f>
        <v>Precon Electrical Estimator</v>
      </c>
      <c r="C75" s="40">
        <v>1</v>
      </c>
      <c r="D75" s="38" t="s">
        <v>45</v>
      </c>
      <c r="E75" s="65"/>
      <c r="F75" s="43">
        <v>0</v>
      </c>
      <c r="G75" s="71">
        <f t="shared" si="0"/>
        <v>0</v>
      </c>
    </row>
    <row r="76" spans="1:7" s="23" customFormat="1" x14ac:dyDescent="0.25">
      <c r="A76" s="41" t="str">
        <f>"01310-84"</f>
        <v>01310-84</v>
      </c>
      <c r="B76" s="37" t="str">
        <f>B75</f>
        <v>Precon Electrical Estimator</v>
      </c>
      <c r="C76" s="40">
        <v>2</v>
      </c>
      <c r="D76" s="38" t="str">
        <f>D75</f>
        <v>HR</v>
      </c>
      <c r="E76" s="65"/>
      <c r="F76" s="43">
        <v>0</v>
      </c>
      <c r="G76" s="71">
        <f t="shared" si="0"/>
        <v>0</v>
      </c>
    </row>
    <row r="77" spans="1:7" s="23" customFormat="1" x14ac:dyDescent="0.25">
      <c r="A77" s="41" t="str">
        <f>"01310-85"</f>
        <v>01310-85</v>
      </c>
      <c r="B77" s="37" t="str">
        <f>"Precon Lead Estimator"</f>
        <v>Precon Lead Estimator</v>
      </c>
      <c r="C77" s="40">
        <v>1</v>
      </c>
      <c r="D77" s="38" t="s">
        <v>45</v>
      </c>
      <c r="E77" s="65"/>
      <c r="F77" s="43">
        <v>0</v>
      </c>
      <c r="G77" s="71">
        <f t="shared" si="0"/>
        <v>0</v>
      </c>
    </row>
    <row r="78" spans="1:7" s="23" customFormat="1" x14ac:dyDescent="0.25">
      <c r="A78" s="41" t="str">
        <f>"01310-85"</f>
        <v>01310-85</v>
      </c>
      <c r="B78" s="37" t="str">
        <f>B77</f>
        <v>Precon Lead Estimator</v>
      </c>
      <c r="C78" s="40">
        <v>2</v>
      </c>
      <c r="D78" s="38" t="str">
        <f>D77</f>
        <v>HR</v>
      </c>
      <c r="E78" s="65"/>
      <c r="F78" s="43">
        <v>0</v>
      </c>
      <c r="G78" s="71">
        <f t="shared" si="0"/>
        <v>0</v>
      </c>
    </row>
    <row r="79" spans="1:7" s="23" customFormat="1" x14ac:dyDescent="0.25">
      <c r="A79" s="41" t="str">
        <f>"01310-81"</f>
        <v>01310-81</v>
      </c>
      <c r="B79" s="37" t="str">
        <f>"Precon Senior Project Manager"</f>
        <v>Precon Senior Project Manager</v>
      </c>
      <c r="C79" s="40">
        <v>1</v>
      </c>
      <c r="D79" s="38" t="s">
        <v>45</v>
      </c>
      <c r="E79" s="65"/>
      <c r="F79" s="43">
        <v>0</v>
      </c>
      <c r="G79" s="71">
        <f t="shared" si="0"/>
        <v>0</v>
      </c>
    </row>
    <row r="80" spans="1:7" s="23" customFormat="1" x14ac:dyDescent="0.25">
      <c r="A80" s="41" t="str">
        <f>"01310-81"</f>
        <v>01310-81</v>
      </c>
      <c r="B80" s="37" t="str">
        <f>B79</f>
        <v>Precon Senior Project Manager</v>
      </c>
      <c r="C80" s="40">
        <v>2</v>
      </c>
      <c r="D80" s="38" t="str">
        <f>D79</f>
        <v>HR</v>
      </c>
      <c r="E80" s="65"/>
      <c r="F80" s="43">
        <v>0</v>
      </c>
      <c r="G80" s="71">
        <f t="shared" si="0"/>
        <v>0</v>
      </c>
    </row>
    <row r="81" spans="1:8" s="23" customFormat="1" x14ac:dyDescent="0.25">
      <c r="A81" s="41" t="str">
        <f>"01310-82"</f>
        <v>01310-82</v>
      </c>
      <c r="B81" s="37" t="str">
        <f>"Precon Project Manager"</f>
        <v>Precon Project Manager</v>
      </c>
      <c r="C81" s="40">
        <v>1</v>
      </c>
      <c r="D81" s="38" t="s">
        <v>45</v>
      </c>
      <c r="E81" s="65"/>
      <c r="F81" s="43">
        <v>0</v>
      </c>
      <c r="G81" s="71">
        <f t="shared" si="0"/>
        <v>0</v>
      </c>
    </row>
    <row r="82" spans="1:8" s="23" customFormat="1" x14ac:dyDescent="0.25">
      <c r="A82" s="41" t="str">
        <f>"01310-82"</f>
        <v>01310-82</v>
      </c>
      <c r="B82" s="37" t="str">
        <f>B81</f>
        <v>Precon Project Manager</v>
      </c>
      <c r="C82" s="40">
        <v>2</v>
      </c>
      <c r="D82" s="38" t="str">
        <f>D81</f>
        <v>HR</v>
      </c>
      <c r="E82" s="65"/>
      <c r="F82" s="43">
        <v>0</v>
      </c>
      <c r="G82" s="71">
        <f t="shared" si="0"/>
        <v>0</v>
      </c>
    </row>
    <row r="83" spans="1:8" s="23" customFormat="1" x14ac:dyDescent="0.25">
      <c r="A83" s="41" t="str">
        <f>"01310-89"</f>
        <v>01310-89</v>
      </c>
      <c r="B83" s="37" t="str">
        <f>"Precon Superintendent"</f>
        <v>Precon Superintendent</v>
      </c>
      <c r="C83" s="40">
        <v>1</v>
      </c>
      <c r="D83" s="38" t="s">
        <v>45</v>
      </c>
      <c r="E83" s="65"/>
      <c r="F83" s="43">
        <v>0</v>
      </c>
      <c r="G83" s="71">
        <f t="shared" si="0"/>
        <v>0</v>
      </c>
      <c r="H83" s="53"/>
    </row>
    <row r="84" spans="1:8" s="23" customFormat="1" x14ac:dyDescent="0.25">
      <c r="A84" s="41" t="str">
        <f>"01310-89"</f>
        <v>01310-89</v>
      </c>
      <c r="B84" s="37" t="str">
        <f>B83</f>
        <v>Precon Superintendent</v>
      </c>
      <c r="C84" s="40">
        <v>2</v>
      </c>
      <c r="D84" s="38" t="str">
        <f>D83</f>
        <v>HR</v>
      </c>
      <c r="E84" s="65"/>
      <c r="F84" s="43">
        <v>0</v>
      </c>
      <c r="G84" s="71">
        <f t="shared" si="0"/>
        <v>0</v>
      </c>
      <c r="H84" s="53"/>
    </row>
    <row r="85" spans="1:8" s="23" customFormat="1" x14ac:dyDescent="0.25">
      <c r="A85" s="41" t="str">
        <f>"01310-14"</f>
        <v>01310-14</v>
      </c>
      <c r="B85" s="37" t="str">
        <f>"Assistant Superintendent"</f>
        <v>Assistant Superintendent</v>
      </c>
      <c r="C85" s="40">
        <v>1</v>
      </c>
      <c r="D85" s="38" t="s">
        <v>45</v>
      </c>
      <c r="E85" s="65"/>
      <c r="F85" s="43">
        <v>0</v>
      </c>
      <c r="G85" s="71">
        <f t="shared" si="0"/>
        <v>0</v>
      </c>
      <c r="H85" s="53"/>
    </row>
    <row r="86" spans="1:8" s="23" customFormat="1" x14ac:dyDescent="0.25">
      <c r="A86" s="41" t="str">
        <f>"01310-14"</f>
        <v>01310-14</v>
      </c>
      <c r="B86" s="37" t="str">
        <f>B85</f>
        <v>Assistant Superintendent</v>
      </c>
      <c r="C86" s="40">
        <v>2</v>
      </c>
      <c r="D86" s="38" t="str">
        <f>D85</f>
        <v>HR</v>
      </c>
      <c r="E86" s="65"/>
      <c r="F86" s="43">
        <v>0</v>
      </c>
      <c r="G86" s="71">
        <f t="shared" si="0"/>
        <v>0</v>
      </c>
      <c r="H86" s="53"/>
    </row>
    <row r="87" spans="1:8" s="23" customFormat="1" x14ac:dyDescent="0.25">
      <c r="A87" s="41" t="str">
        <f>"01310-92"</f>
        <v>01310-92</v>
      </c>
      <c r="B87" s="37" t="str">
        <f>"Precon Project Engineer"</f>
        <v>Precon Project Engineer</v>
      </c>
      <c r="C87" s="40">
        <v>1</v>
      </c>
      <c r="D87" s="38" t="s">
        <v>45</v>
      </c>
      <c r="E87" s="65"/>
      <c r="F87" s="43">
        <v>0</v>
      </c>
      <c r="G87" s="71">
        <f t="shared" si="0"/>
        <v>0</v>
      </c>
      <c r="H87" s="53"/>
    </row>
    <row r="88" spans="1:8" s="23" customFormat="1" x14ac:dyDescent="0.25">
      <c r="A88" s="41" t="str">
        <f>"01310-92"</f>
        <v>01310-92</v>
      </c>
      <c r="B88" s="37" t="str">
        <f>B87</f>
        <v>Precon Project Engineer</v>
      </c>
      <c r="C88" s="40">
        <v>2</v>
      </c>
      <c r="D88" s="38" t="str">
        <f>D87</f>
        <v>HR</v>
      </c>
      <c r="E88" s="65"/>
      <c r="F88" s="43">
        <v>0</v>
      </c>
      <c r="G88" s="71">
        <f t="shared" si="0"/>
        <v>0</v>
      </c>
      <c r="H88" s="53"/>
    </row>
    <row r="89" spans="1:8" s="23" customFormat="1" x14ac:dyDescent="0.25">
      <c r="A89" s="41" t="str">
        <f>"01310-86"</f>
        <v>01310-86</v>
      </c>
      <c r="B89" s="37" t="str">
        <f>"Precon Project Accountant"</f>
        <v>Precon Project Accountant</v>
      </c>
      <c r="C89" s="40">
        <v>1</v>
      </c>
      <c r="D89" s="38" t="s">
        <v>45</v>
      </c>
      <c r="E89" s="65"/>
      <c r="F89" s="43">
        <v>0</v>
      </c>
      <c r="G89" s="71">
        <f t="shared" ref="G89:G124" si="2">IF(C89=2,G88*$G$10,IF(AND(E89="",C89=3),0,IF(AND(E89&gt;=1,C89=3),E89*F89*1.06,IF(D89="","",IF(E89="",0,F89*E89)))))</f>
        <v>0</v>
      </c>
      <c r="H89" s="53"/>
    </row>
    <row r="90" spans="1:8" s="23" customFormat="1" x14ac:dyDescent="0.25">
      <c r="A90" s="41" t="str">
        <f>"01310-86"</f>
        <v>01310-86</v>
      </c>
      <c r="B90" s="37" t="str">
        <f>B89</f>
        <v>Precon Project Accountant</v>
      </c>
      <c r="C90" s="40">
        <v>2</v>
      </c>
      <c r="D90" s="38" t="str">
        <f>D89</f>
        <v>HR</v>
      </c>
      <c r="E90" s="65"/>
      <c r="F90" s="43">
        <v>0</v>
      </c>
      <c r="G90" s="71">
        <f t="shared" si="2"/>
        <v>0</v>
      </c>
      <c r="H90" s="53"/>
    </row>
    <row r="91" spans="1:8" s="23" customFormat="1" x14ac:dyDescent="0.25">
      <c r="A91" s="41" t="str">
        <f>"01310-17"</f>
        <v>01310-17</v>
      </c>
      <c r="B91" s="37" t="str">
        <f>"Administrative Assistant"</f>
        <v>Administrative Assistant</v>
      </c>
      <c r="C91" s="40">
        <v>1</v>
      </c>
      <c r="D91" s="38" t="s">
        <v>45</v>
      </c>
      <c r="E91" s="65"/>
      <c r="F91" s="43">
        <v>0</v>
      </c>
      <c r="G91" s="71">
        <f t="shared" si="2"/>
        <v>0</v>
      </c>
      <c r="H91" s="53"/>
    </row>
    <row r="92" spans="1:8" s="23" customFormat="1" x14ac:dyDescent="0.25">
      <c r="A92" s="41" t="str">
        <f>"01310-17"</f>
        <v>01310-17</v>
      </c>
      <c r="B92" s="37" t="str">
        <f>B91</f>
        <v>Administrative Assistant</v>
      </c>
      <c r="C92" s="40">
        <v>2</v>
      </c>
      <c r="D92" s="38" t="str">
        <f>D91</f>
        <v>HR</v>
      </c>
      <c r="E92" s="65"/>
      <c r="F92" s="43">
        <v>0</v>
      </c>
      <c r="G92" s="71">
        <f t="shared" si="2"/>
        <v>0</v>
      </c>
      <c r="H92" s="53"/>
    </row>
    <row r="93" spans="1:8" s="23" customFormat="1" x14ac:dyDescent="0.25">
      <c r="A93" s="41" t="str">
        <f>"01310-18"</f>
        <v>01310-18</v>
      </c>
      <c r="B93" s="37" t="str">
        <f>"System Administrator"</f>
        <v>System Administrator</v>
      </c>
      <c r="C93" s="40">
        <v>1</v>
      </c>
      <c r="D93" s="38" t="s">
        <v>45</v>
      </c>
      <c r="E93" s="65"/>
      <c r="F93" s="43">
        <v>0</v>
      </c>
      <c r="G93" s="71">
        <f t="shared" si="2"/>
        <v>0</v>
      </c>
      <c r="H93" s="53"/>
    </row>
    <row r="94" spans="1:8" s="23" customFormat="1" x14ac:dyDescent="0.25">
      <c r="A94" s="41" t="str">
        <f>"01310-18"</f>
        <v>01310-18</v>
      </c>
      <c r="B94" s="37" t="str">
        <f>B93</f>
        <v>System Administrator</v>
      </c>
      <c r="C94" s="40">
        <v>2</v>
      </c>
      <c r="D94" s="38" t="str">
        <f>D93</f>
        <v>HR</v>
      </c>
      <c r="E94" s="65"/>
      <c r="F94" s="43">
        <v>0</v>
      </c>
      <c r="G94" s="71">
        <f t="shared" si="2"/>
        <v>0</v>
      </c>
      <c r="H94" s="53"/>
    </row>
    <row r="95" spans="1:8" s="23" customFormat="1" x14ac:dyDescent="0.25">
      <c r="A95" s="41" t="str">
        <f>"01310-19"</f>
        <v>01310-19</v>
      </c>
      <c r="B95" s="37" t="str">
        <f>"Safety / Personnel Manager"</f>
        <v>Safety / Personnel Manager</v>
      </c>
      <c r="C95" s="40">
        <v>1</v>
      </c>
      <c r="D95" s="38" t="s">
        <v>45</v>
      </c>
      <c r="E95" s="65"/>
      <c r="F95" s="43">
        <v>0</v>
      </c>
      <c r="G95" s="71">
        <f t="shared" si="2"/>
        <v>0</v>
      </c>
      <c r="H95" s="53"/>
    </row>
    <row r="96" spans="1:8" s="23" customFormat="1" x14ac:dyDescent="0.25">
      <c r="A96" s="41" t="str">
        <f>"01310-19"</f>
        <v>01310-19</v>
      </c>
      <c r="B96" s="37" t="str">
        <f>B95</f>
        <v>Safety / Personnel Manager</v>
      </c>
      <c r="C96" s="40">
        <v>2</v>
      </c>
      <c r="D96" s="38" t="str">
        <f>D95</f>
        <v>HR</v>
      </c>
      <c r="E96" s="65"/>
      <c r="F96" s="43">
        <v>0</v>
      </c>
      <c r="G96" s="71">
        <f t="shared" si="2"/>
        <v>0</v>
      </c>
      <c r="H96" s="53"/>
    </row>
    <row r="97" spans="1:8" s="23" customFormat="1" x14ac:dyDescent="0.25">
      <c r="A97" s="41" t="str">
        <f>"01310-20"</f>
        <v>01310-20</v>
      </c>
      <c r="B97" s="37" t="str">
        <f>"Site Safety &amp; Health Officer"</f>
        <v>Site Safety &amp; Health Officer</v>
      </c>
      <c r="C97" s="40">
        <v>1</v>
      </c>
      <c r="D97" s="38" t="s">
        <v>45</v>
      </c>
      <c r="E97" s="65"/>
      <c r="F97" s="43">
        <v>0</v>
      </c>
      <c r="G97" s="71">
        <f t="shared" si="2"/>
        <v>0</v>
      </c>
      <c r="H97" s="53"/>
    </row>
    <row r="98" spans="1:8" s="23" customFormat="1" x14ac:dyDescent="0.25">
      <c r="A98" s="41" t="str">
        <f>"01310-20"</f>
        <v>01310-20</v>
      </c>
      <c r="B98" s="37" t="str">
        <f>B97</f>
        <v>Site Safety &amp; Health Officer</v>
      </c>
      <c r="C98" s="40">
        <v>2</v>
      </c>
      <c r="D98" s="38" t="str">
        <f>D97</f>
        <v>HR</v>
      </c>
      <c r="E98" s="65"/>
      <c r="F98" s="43">
        <v>0</v>
      </c>
      <c r="G98" s="71">
        <f t="shared" si="2"/>
        <v>0</v>
      </c>
      <c r="H98" s="53"/>
    </row>
    <row r="99" spans="1:8" s="23" customFormat="1" x14ac:dyDescent="0.25">
      <c r="A99" s="41" t="str">
        <f>"01310-21"</f>
        <v>01310-21</v>
      </c>
      <c r="B99" s="37" t="str">
        <f>"Misc. Labor"</f>
        <v>Misc. Labor</v>
      </c>
      <c r="C99" s="40">
        <v>1</v>
      </c>
      <c r="D99" s="38" t="s">
        <v>45</v>
      </c>
      <c r="E99" s="65"/>
      <c r="F99" s="43">
        <v>0</v>
      </c>
      <c r="G99" s="71">
        <f t="shared" si="2"/>
        <v>0</v>
      </c>
      <c r="H99" s="53"/>
    </row>
    <row r="100" spans="1:8" s="23" customFormat="1" x14ac:dyDescent="0.25">
      <c r="A100" s="41" t="str">
        <f>"01310-21"</f>
        <v>01310-21</v>
      </c>
      <c r="B100" s="37" t="str">
        <f>B99</f>
        <v>Misc. Labor</v>
      </c>
      <c r="C100" s="40">
        <v>2</v>
      </c>
      <c r="D100" s="38" t="str">
        <f>D99</f>
        <v>HR</v>
      </c>
      <c r="E100" s="65"/>
      <c r="F100" s="43">
        <v>0</v>
      </c>
      <c r="G100" s="71">
        <f t="shared" si="2"/>
        <v>0</v>
      </c>
      <c r="H100" s="53"/>
    </row>
    <row r="101" spans="1:8" s="23" customFormat="1" x14ac:dyDescent="0.25">
      <c r="A101" s="41" t="str">
        <f>"01310-90"</f>
        <v>01310-90</v>
      </c>
      <c r="B101" s="37" t="str">
        <f>"Precon Travel"</f>
        <v>Precon Travel</v>
      </c>
      <c r="C101" s="40">
        <v>9</v>
      </c>
      <c r="D101" s="38" t="s">
        <v>46</v>
      </c>
      <c r="E101" s="65"/>
      <c r="F101" s="43">
        <v>0</v>
      </c>
      <c r="G101" s="71">
        <f t="shared" si="2"/>
        <v>0</v>
      </c>
      <c r="H101" s="53"/>
    </row>
    <row r="102" spans="1:8" s="23" customFormat="1" x14ac:dyDescent="0.25">
      <c r="A102" s="41" t="str">
        <f>"01310-91"</f>
        <v>01310-91</v>
      </c>
      <c r="B102" s="37" t="str">
        <f>"Precon Plans/Specs"</f>
        <v>Precon Plans/Specs</v>
      </c>
      <c r="C102" s="40">
        <v>9</v>
      </c>
      <c r="D102" s="38" t="s">
        <v>29</v>
      </c>
      <c r="E102" s="65"/>
      <c r="F102" s="43">
        <v>0</v>
      </c>
      <c r="G102" s="71">
        <f>IF(C102=2,G110*$G$10,IF(AND(E102="",C102=3),0,IF(AND(E102&gt;=1,C102=3),E102*F102*1.06,IF(D102="","",IF(E102="",0,F102*E102)))))</f>
        <v>0</v>
      </c>
    </row>
    <row r="103" spans="1:8" s="23" customFormat="1" x14ac:dyDescent="0.25">
      <c r="A103" s="41" t="str">
        <f>"01310-31"</f>
        <v>01310-31</v>
      </c>
      <c r="B103" s="37" t="str">
        <f>"Living Expenses"</f>
        <v>Living Expenses</v>
      </c>
      <c r="C103" s="40">
        <v>9</v>
      </c>
      <c r="D103" s="38" t="s">
        <v>29</v>
      </c>
      <c r="E103" s="65"/>
      <c r="F103" s="43">
        <v>0</v>
      </c>
      <c r="G103" s="71">
        <f>IF(C103=2,G101*$G$10,IF(AND(E103="",C103=3),0,IF(AND(E103&gt;=1,C103=3),E103*F103*1.06,IF(D103="","",IF(E103="",0,F103*E103)))))</f>
        <v>0</v>
      </c>
      <c r="H103" s="53"/>
    </row>
    <row r="104" spans="1:8" s="23" customFormat="1" x14ac:dyDescent="0.25">
      <c r="A104" s="41" t="str">
        <f>"01310-93"</f>
        <v>01310-93</v>
      </c>
      <c r="B104" s="37" t="str">
        <f>"Precon Meals and Entertainment"</f>
        <v>Precon Meals and Entertainment</v>
      </c>
      <c r="C104" s="40">
        <v>9</v>
      </c>
      <c r="D104" s="38" t="s">
        <v>29</v>
      </c>
      <c r="E104" s="65"/>
      <c r="F104" s="43">
        <v>0</v>
      </c>
      <c r="G104" s="71">
        <f t="shared" si="2"/>
        <v>0</v>
      </c>
      <c r="H104" s="53"/>
    </row>
    <row r="105" spans="1:8" s="23" customFormat="1" x14ac:dyDescent="0.25">
      <c r="A105" s="41" t="str">
        <f>"01310-94"</f>
        <v>01310-94</v>
      </c>
      <c r="B105" s="37" t="s">
        <v>195</v>
      </c>
      <c r="C105" s="40">
        <v>4</v>
      </c>
      <c r="D105" s="38" t="s">
        <v>29</v>
      </c>
      <c r="E105" s="65"/>
      <c r="F105" s="43">
        <v>0</v>
      </c>
      <c r="G105" s="71">
        <f t="shared" si="2"/>
        <v>0</v>
      </c>
    </row>
    <row r="106" spans="1:8" s="23" customFormat="1" x14ac:dyDescent="0.25">
      <c r="A106" s="41" t="str">
        <f>"01310-38"</f>
        <v>01310-38</v>
      </c>
      <c r="B106" s="37" t="s">
        <v>47</v>
      </c>
      <c r="C106" s="40">
        <v>9</v>
      </c>
      <c r="D106" s="38" t="s">
        <v>29</v>
      </c>
      <c r="E106" s="65"/>
      <c r="F106" s="43">
        <v>0</v>
      </c>
      <c r="G106" s="71">
        <f t="shared" si="2"/>
        <v>0</v>
      </c>
    </row>
    <row r="107" spans="1:8" s="23" customFormat="1" x14ac:dyDescent="0.25">
      <c r="A107" s="41" t="str">
        <f>"01310-40"</f>
        <v>01310-40</v>
      </c>
      <c r="B107" s="37" t="s">
        <v>49</v>
      </c>
      <c r="C107" s="40">
        <v>8</v>
      </c>
      <c r="D107" s="38" t="s">
        <v>48</v>
      </c>
      <c r="E107" s="65"/>
      <c r="F107" s="43">
        <v>0</v>
      </c>
      <c r="G107" s="71">
        <f t="shared" si="2"/>
        <v>0</v>
      </c>
    </row>
    <row r="108" spans="1:8" s="23" customFormat="1" x14ac:dyDescent="0.25">
      <c r="A108" s="41" t="str">
        <f>"01310-50"</f>
        <v>01310-50</v>
      </c>
      <c r="B108" s="37" t="str">
        <f>"Return To Work"</f>
        <v>Return To Work</v>
      </c>
      <c r="C108" s="40">
        <v>9</v>
      </c>
      <c r="D108" s="38" t="s">
        <v>29</v>
      </c>
      <c r="E108" s="65"/>
      <c r="F108" s="43">
        <v>0</v>
      </c>
      <c r="G108" s="71">
        <f t="shared" si="2"/>
        <v>0</v>
      </c>
    </row>
    <row r="109" spans="1:8" s="23" customFormat="1" x14ac:dyDescent="0.25">
      <c r="A109" s="41"/>
      <c r="B109" s="37"/>
      <c r="C109" s="40"/>
      <c r="D109" s="38"/>
      <c r="E109" s="65"/>
      <c r="F109" s="43"/>
      <c r="G109" s="71" t="str">
        <f t="shared" si="2"/>
        <v/>
      </c>
    </row>
    <row r="110" spans="1:8" s="23" customFormat="1" x14ac:dyDescent="0.25">
      <c r="A110" s="42" t="str">
        <f>"01320"</f>
        <v>01320</v>
      </c>
      <c r="B110" s="42" t="s">
        <v>50</v>
      </c>
      <c r="C110" s="40"/>
      <c r="D110" s="38"/>
      <c r="E110" s="65"/>
      <c r="F110" s="43"/>
      <c r="G110" s="71" t="str">
        <f t="shared" si="2"/>
        <v/>
      </c>
    </row>
    <row r="111" spans="1:8" s="23" customFormat="1" x14ac:dyDescent="0.25">
      <c r="A111" s="41" t="str">
        <f>"01320-11"</f>
        <v>01320-11</v>
      </c>
      <c r="B111" s="37" t="str">
        <f>"Shop Drawings"</f>
        <v>Shop Drawings</v>
      </c>
      <c r="C111" s="40">
        <v>9</v>
      </c>
      <c r="D111" s="38" t="s">
        <v>29</v>
      </c>
      <c r="E111" s="65"/>
      <c r="F111" s="43">
        <v>0</v>
      </c>
      <c r="G111" s="71">
        <f>IF(C111=2,G102*$G$10,IF(AND(E111="",C111=3),0,IF(AND(E111&gt;=1,C111=3),E111*F111*1.06,IF(D111="","",IF(E111="",0,F111*E111)))))</f>
        <v>0</v>
      </c>
    </row>
    <row r="112" spans="1:8" s="13" customFormat="1" x14ac:dyDescent="0.25">
      <c r="A112" s="41" t="str">
        <f>"01320-12"</f>
        <v>01320-12</v>
      </c>
      <c r="B112" s="37" t="str">
        <f>"Document Misc."</f>
        <v>Document Misc.</v>
      </c>
      <c r="C112" s="40">
        <v>9</v>
      </c>
      <c r="D112" s="38" t="s">
        <v>29</v>
      </c>
      <c r="E112" s="65"/>
      <c r="F112" s="43">
        <v>0</v>
      </c>
      <c r="G112" s="71">
        <f t="shared" si="2"/>
        <v>0</v>
      </c>
    </row>
    <row r="113" spans="1:7" s="23" customFormat="1" x14ac:dyDescent="0.25">
      <c r="A113" s="41" t="str">
        <f>"01320-20"</f>
        <v>01320-20</v>
      </c>
      <c r="B113" s="37" t="str">
        <f>"Job Photos"</f>
        <v>Job Photos</v>
      </c>
      <c r="C113" s="40">
        <v>9</v>
      </c>
      <c r="D113" s="38" t="s">
        <v>29</v>
      </c>
      <c r="E113" s="65"/>
      <c r="F113" s="43">
        <v>0</v>
      </c>
      <c r="G113" s="71">
        <f t="shared" si="2"/>
        <v>0</v>
      </c>
    </row>
    <row r="114" spans="1:7" s="23" customFormat="1" x14ac:dyDescent="0.25">
      <c r="A114" s="41" t="str">
        <f>"01320-30"</f>
        <v>01320-30</v>
      </c>
      <c r="B114" s="37" t="str">
        <f>"Postage"</f>
        <v>Postage</v>
      </c>
      <c r="C114" s="40">
        <v>9</v>
      </c>
      <c r="D114" s="38" t="s">
        <v>29</v>
      </c>
      <c r="E114" s="65"/>
      <c r="F114" s="43">
        <v>0</v>
      </c>
      <c r="G114" s="71">
        <f t="shared" si="2"/>
        <v>0</v>
      </c>
    </row>
    <row r="115" spans="1:7" s="23" customFormat="1" x14ac:dyDescent="0.25">
      <c r="A115" s="41" t="str">
        <f>"01320-40"</f>
        <v>01320-40</v>
      </c>
      <c r="B115" s="37" t="str">
        <f>"Legal Fees"</f>
        <v>Legal Fees</v>
      </c>
      <c r="C115" s="40">
        <v>9</v>
      </c>
      <c r="D115" s="38" t="s">
        <v>29</v>
      </c>
      <c r="E115" s="65"/>
      <c r="F115" s="43">
        <v>0</v>
      </c>
      <c r="G115" s="71">
        <f t="shared" si="2"/>
        <v>0</v>
      </c>
    </row>
    <row r="116" spans="1:7" s="23" customFormat="1" x14ac:dyDescent="0.25">
      <c r="A116" s="41" t="str">
        <f>"01320-50"</f>
        <v>01320-50</v>
      </c>
      <c r="B116" s="37" t="str">
        <f>"Advertising"</f>
        <v>Advertising</v>
      </c>
      <c r="C116" s="40">
        <v>9</v>
      </c>
      <c r="D116" s="38" t="s">
        <v>29</v>
      </c>
      <c r="E116" s="65"/>
      <c r="F116" s="43">
        <v>0</v>
      </c>
      <c r="G116" s="71">
        <f t="shared" si="2"/>
        <v>0</v>
      </c>
    </row>
    <row r="117" spans="1:7" s="23" customFormat="1" x14ac:dyDescent="0.25">
      <c r="A117" s="41" t="s">
        <v>51</v>
      </c>
      <c r="B117" s="37" t="s">
        <v>52</v>
      </c>
      <c r="C117" s="40">
        <v>9</v>
      </c>
      <c r="D117" s="38" t="s">
        <v>29</v>
      </c>
      <c r="E117" s="65"/>
      <c r="F117" s="43">
        <v>0</v>
      </c>
      <c r="G117" s="71">
        <f t="shared" si="2"/>
        <v>0</v>
      </c>
    </row>
    <row r="118" spans="1:7" s="23" customFormat="1" x14ac:dyDescent="0.25">
      <c r="A118" s="41"/>
      <c r="B118" s="37"/>
      <c r="C118" s="40"/>
      <c r="D118" s="38"/>
      <c r="E118" s="65"/>
      <c r="F118" s="43"/>
      <c r="G118" s="71" t="str">
        <f t="shared" si="2"/>
        <v/>
      </c>
    </row>
    <row r="119" spans="1:7" s="23" customFormat="1" x14ac:dyDescent="0.25">
      <c r="A119" s="42" t="str">
        <f>"01400"</f>
        <v>01400</v>
      </c>
      <c r="B119" s="42" t="s">
        <v>53</v>
      </c>
      <c r="C119" s="40"/>
      <c r="D119" s="38"/>
      <c r="E119" s="65"/>
      <c r="F119" s="43"/>
      <c r="G119" s="71" t="str">
        <f t="shared" si="2"/>
        <v/>
      </c>
    </row>
    <row r="120" spans="1:7" s="23" customFormat="1" x14ac:dyDescent="0.25">
      <c r="A120" s="42"/>
      <c r="B120" s="42"/>
      <c r="C120" s="40"/>
      <c r="D120" s="38"/>
      <c r="E120" s="65"/>
      <c r="F120" s="43"/>
      <c r="G120" s="71" t="str">
        <f t="shared" si="2"/>
        <v/>
      </c>
    </row>
    <row r="121" spans="1:7" s="23" customFormat="1" x14ac:dyDescent="0.25">
      <c r="A121" s="42" t="str">
        <f>"01450"</f>
        <v>01450</v>
      </c>
      <c r="B121" s="42" t="s">
        <v>54</v>
      </c>
      <c r="C121" s="40"/>
      <c r="D121" s="38"/>
      <c r="E121" s="65"/>
      <c r="F121" s="43"/>
      <c r="G121" s="71" t="str">
        <f t="shared" si="2"/>
        <v/>
      </c>
    </row>
    <row r="122" spans="1:7" s="23" customFormat="1" x14ac:dyDescent="0.25">
      <c r="A122" s="41" t="str">
        <f>"01450-01"</f>
        <v>01450-01</v>
      </c>
      <c r="B122" s="37" t="str">
        <f>"Testing Services"</f>
        <v>Testing Services</v>
      </c>
      <c r="C122" s="40">
        <v>4</v>
      </c>
      <c r="D122" s="38" t="s">
        <v>29</v>
      </c>
      <c r="E122" s="65"/>
      <c r="F122" s="43">
        <v>0</v>
      </c>
      <c r="G122" s="71">
        <f t="shared" si="2"/>
        <v>0</v>
      </c>
    </row>
    <row r="123" spans="1:7" s="23" customFormat="1" x14ac:dyDescent="0.25">
      <c r="A123" s="41" t="str">
        <f>"01450-02"</f>
        <v>01450-02</v>
      </c>
      <c r="B123" s="37" t="str">
        <f>"Soil Borings"</f>
        <v>Soil Borings</v>
      </c>
      <c r="C123" s="40">
        <v>4</v>
      </c>
      <c r="D123" s="38" t="s">
        <v>29</v>
      </c>
      <c r="E123" s="65"/>
      <c r="F123" s="43">
        <v>0</v>
      </c>
      <c r="G123" s="71">
        <f t="shared" si="2"/>
        <v>0</v>
      </c>
    </row>
    <row r="124" spans="1:7" s="23" customFormat="1" x14ac:dyDescent="0.25">
      <c r="A124" s="41"/>
      <c r="B124" s="37"/>
      <c r="C124" s="40"/>
      <c r="D124" s="38"/>
      <c r="E124" s="65"/>
      <c r="F124" s="43"/>
      <c r="G124" s="71" t="str">
        <f t="shared" si="2"/>
        <v/>
      </c>
    </row>
    <row r="125" spans="1:7" s="23" customFormat="1" hidden="1" outlineLevel="1" x14ac:dyDescent="0.25">
      <c r="A125" s="41" t="str">
        <f>"12480-10"</f>
        <v>12480-10</v>
      </c>
      <c r="B125" s="37" t="str">
        <f>"Floor Mats / Frames"</f>
        <v>Floor Mats / Frames</v>
      </c>
      <c r="C125" s="40">
        <v>1</v>
      </c>
      <c r="D125" s="39" t="s">
        <v>55</v>
      </c>
      <c r="E125" s="65"/>
      <c r="F125" s="43">
        <v>0</v>
      </c>
      <c r="G125" s="71">
        <f>IF(C125=2,#REF!*$G$10,IF(AND(E125="",C125=3),0,IF(AND(E125&gt;=1,C125=3),E125*F125*1.06,IF(D125="","",IF(E125="",0,F125*E125)))))</f>
        <v>0</v>
      </c>
    </row>
    <row r="126" spans="1:7" s="23" customFormat="1" hidden="1" outlineLevel="1" x14ac:dyDescent="0.25">
      <c r="A126" s="41" t="str">
        <f>"12480-10"</f>
        <v>12480-10</v>
      </c>
      <c r="B126" s="37" t="str">
        <f>B125</f>
        <v>Floor Mats / Frames</v>
      </c>
      <c r="C126" s="40">
        <v>2</v>
      </c>
      <c r="D126" s="39" t="str">
        <f>D125</f>
        <v>EA</v>
      </c>
      <c r="E126" s="65"/>
      <c r="F126" s="43">
        <v>0</v>
      </c>
      <c r="G126" s="71">
        <f t="shared" ref="G126:G129" si="3">IF(C126=2,G125*$G$10,IF(AND(E126="",C126=3),0,IF(AND(E126&gt;=1,C126=3),E126*F126*1.06,IF(D126="","",IF(E126="",0,F126*E126)))))</f>
        <v>0</v>
      </c>
    </row>
    <row r="127" spans="1:7" s="23" customFormat="1" collapsed="1" x14ac:dyDescent="0.25">
      <c r="A127" s="37"/>
      <c r="B127" s="37"/>
      <c r="C127" s="40"/>
      <c r="D127" s="39"/>
      <c r="E127" s="65"/>
      <c r="F127" s="43"/>
      <c r="G127" s="71" t="str">
        <f t="shared" si="3"/>
        <v/>
      </c>
    </row>
    <row r="128" spans="1:7" x14ac:dyDescent="0.25">
      <c r="G128" s="71" t="str">
        <f t="shared" si="3"/>
        <v/>
      </c>
    </row>
    <row r="129" spans="1:9" x14ac:dyDescent="0.25">
      <c r="A129" s="63" t="str">
        <f>"TEMP"</f>
        <v>TEMP</v>
      </c>
      <c r="B129" s="60" t="s">
        <v>61</v>
      </c>
      <c r="C129" s="40">
        <v>4</v>
      </c>
      <c r="D129" s="39" t="s">
        <v>29</v>
      </c>
      <c r="E129" s="65"/>
      <c r="F129" s="43">
        <v>0</v>
      </c>
      <c r="G129" s="71">
        <f t="shared" si="3"/>
        <v>0</v>
      </c>
      <c r="I129" s="78"/>
    </row>
    <row r="131" spans="1:9" ht="18.75" x14ac:dyDescent="0.3">
      <c r="B131" s="67" t="s">
        <v>62</v>
      </c>
      <c r="G131" s="72">
        <f>SUM(G22:G129)</f>
        <v>0</v>
      </c>
    </row>
    <row r="133" spans="1:9" x14ac:dyDescent="0.25">
      <c r="G133" s="85"/>
    </row>
  </sheetData>
  <customSheetViews>
    <customSheetView guid="{D41564A3-D4EB-11D3-8141-00C04F352D9A}" showPageBreaks="1" printArea="1" showRuler="0">
      <selection activeCell="C4" sqref="C4"/>
      <rowBreaks count="6" manualBreakCount="6">
        <brk id="66" max="7" man="1"/>
        <brk id="119" max="7" man="1"/>
        <brk id="180" max="7" man="1"/>
        <brk id="245" max="7" man="1"/>
        <brk id="296" max="7" man="1"/>
        <brk id="340" max="7" man="1"/>
      </rowBreaks>
      <pageMargins left="0" right="0" top="0" bottom="0" header="0" footer="0"/>
      <pageSetup scale="71" fitToHeight="0" orientation="portrait" r:id="rId1"/>
      <headerFooter alignWithMargins="0">
        <oddHeader xml:space="preserve">&amp;C
&amp;R&amp;"Times New Roman,Bold"&amp;P of &amp;N&amp;"Arial,Regular"
</oddHeader>
        <oddFooter xml:space="preserve">&amp;L
&amp;"Times New Roman,Regular"&amp;8
F:\PUBLIC\ISO\402 Quality Systems\&amp;F&amp;C&amp;"Times New Roman,Italic"&amp;12If Printed, this is an Uncontrolled Distribution
</oddFooter>
      </headerFooter>
    </customSheetView>
  </customSheetViews>
  <mergeCells count="8">
    <mergeCell ref="G2:H2"/>
    <mergeCell ref="G1:H1"/>
    <mergeCell ref="A16:F16"/>
    <mergeCell ref="D15:E15"/>
    <mergeCell ref="D13:E13"/>
    <mergeCell ref="D14:E14"/>
    <mergeCell ref="D12:E12"/>
    <mergeCell ref="D2:F4"/>
  </mergeCells>
  <phoneticPr fontId="0" type="noConversion"/>
  <conditionalFormatting sqref="G131">
    <cfRule type="expression" dxfId="1" priority="7">
      <formula>$G$7&lt;&gt;$G$8+$G$131</formula>
    </cfRule>
    <cfRule type="expression" dxfId="0" priority="8">
      <formula>($G$131+$G$8)=$G$7</formula>
    </cfRule>
  </conditionalFormatting>
  <pageMargins left="7.0000000000000007E-2" right="0.05" top="0.34" bottom="0.79" header="0.5" footer="0.28000000000000003"/>
  <pageSetup scale="72" fitToHeight="8" orientation="portrait" r:id="rId2"/>
  <headerFooter alignWithMargins="0">
    <oddHeader xml:space="preserve">&amp;C
&amp;R
</oddHeader>
    <oddFooter>&amp;L&amp;Z&amp;F&amp;C&amp;"Times New Roman,Italic"&amp;12
&amp;R&amp;P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1"/>
  <sheetViews>
    <sheetView topLeftCell="A10" workbookViewId="0">
      <selection activeCell="F55" sqref="F55"/>
    </sheetView>
  </sheetViews>
  <sheetFormatPr defaultRowHeight="12.75" x14ac:dyDescent="0.2"/>
  <sheetData>
    <row r="1" spans="1:8" x14ac:dyDescent="0.2">
      <c r="A1" s="3" t="s">
        <v>63</v>
      </c>
      <c r="C1" s="2" t="s">
        <v>22</v>
      </c>
      <c r="F1" s="3" t="s">
        <v>63</v>
      </c>
      <c r="H1" s="2" t="s">
        <v>22</v>
      </c>
    </row>
    <row r="3" spans="1:8" x14ac:dyDescent="0.2">
      <c r="A3" t="s">
        <v>64</v>
      </c>
      <c r="C3" t="s">
        <v>65</v>
      </c>
      <c r="F3" s="1" t="s">
        <v>66</v>
      </c>
      <c r="H3" t="s">
        <v>67</v>
      </c>
    </row>
    <row r="4" spans="1:8" x14ac:dyDescent="0.2">
      <c r="A4" s="1" t="s">
        <v>68</v>
      </c>
      <c r="C4" t="s">
        <v>69</v>
      </c>
      <c r="F4" s="1" t="s">
        <v>70</v>
      </c>
      <c r="H4" t="s">
        <v>71</v>
      </c>
    </row>
    <row r="5" spans="1:8" x14ac:dyDescent="0.2">
      <c r="A5" s="1" t="s">
        <v>72</v>
      </c>
      <c r="C5" t="s">
        <v>73</v>
      </c>
      <c r="F5" s="1" t="s">
        <v>74</v>
      </c>
      <c r="H5" t="s">
        <v>75</v>
      </c>
    </row>
    <row r="6" spans="1:8" x14ac:dyDescent="0.2">
      <c r="A6" s="1" t="s">
        <v>76</v>
      </c>
      <c r="C6" t="s">
        <v>77</v>
      </c>
      <c r="F6" s="1" t="s">
        <v>48</v>
      </c>
      <c r="H6" t="s">
        <v>78</v>
      </c>
    </row>
    <row r="7" spans="1:8" x14ac:dyDescent="0.2">
      <c r="A7" s="1" t="s">
        <v>79</v>
      </c>
      <c r="C7" t="s">
        <v>80</v>
      </c>
      <c r="F7" s="1" t="s">
        <v>81</v>
      </c>
      <c r="H7" t="s">
        <v>82</v>
      </c>
    </row>
    <row r="8" spans="1:8" x14ac:dyDescent="0.2">
      <c r="A8" s="1" t="s">
        <v>83</v>
      </c>
      <c r="C8" t="s">
        <v>84</v>
      </c>
      <c r="F8" s="1" t="s">
        <v>85</v>
      </c>
      <c r="H8" t="s">
        <v>86</v>
      </c>
    </row>
    <row r="9" spans="1:8" x14ac:dyDescent="0.2">
      <c r="A9" s="1" t="s">
        <v>87</v>
      </c>
      <c r="C9" t="s">
        <v>88</v>
      </c>
      <c r="F9" s="1" t="s">
        <v>89</v>
      </c>
      <c r="H9" t="s">
        <v>90</v>
      </c>
    </row>
    <row r="10" spans="1:8" x14ac:dyDescent="0.2">
      <c r="A10" s="1" t="s">
        <v>91</v>
      </c>
      <c r="C10" t="s">
        <v>92</v>
      </c>
      <c r="F10" s="1" t="s">
        <v>93</v>
      </c>
      <c r="H10" t="s">
        <v>94</v>
      </c>
    </row>
    <row r="11" spans="1:8" x14ac:dyDescent="0.2">
      <c r="A11" s="1" t="s">
        <v>95</v>
      </c>
      <c r="C11" t="s">
        <v>96</v>
      </c>
      <c r="F11" s="1" t="s">
        <v>97</v>
      </c>
      <c r="H11" t="s">
        <v>98</v>
      </c>
    </row>
    <row r="12" spans="1:8" x14ac:dyDescent="0.2">
      <c r="A12" s="1" t="s">
        <v>99</v>
      </c>
      <c r="C12" t="s">
        <v>100</v>
      </c>
      <c r="F12" s="1" t="s">
        <v>101</v>
      </c>
      <c r="H12" t="s">
        <v>102</v>
      </c>
    </row>
    <row r="13" spans="1:8" x14ac:dyDescent="0.2">
      <c r="A13" s="1" t="s">
        <v>103</v>
      </c>
      <c r="C13" t="s">
        <v>104</v>
      </c>
      <c r="F13" s="1" t="s">
        <v>105</v>
      </c>
      <c r="H13" t="s">
        <v>106</v>
      </c>
    </row>
    <row r="14" spans="1:8" x14ac:dyDescent="0.2">
      <c r="A14" s="1" t="s">
        <v>107</v>
      </c>
      <c r="C14" t="s">
        <v>108</v>
      </c>
      <c r="F14" s="1" t="s">
        <v>109</v>
      </c>
      <c r="H14" t="s">
        <v>110</v>
      </c>
    </row>
    <row r="15" spans="1:8" x14ac:dyDescent="0.2">
      <c r="A15" s="1" t="s">
        <v>111</v>
      </c>
      <c r="C15" t="s">
        <v>112</v>
      </c>
      <c r="F15" s="1" t="s">
        <v>113</v>
      </c>
      <c r="H15" t="s">
        <v>114</v>
      </c>
    </row>
    <row r="16" spans="1:8" x14ac:dyDescent="0.2">
      <c r="A16" s="1" t="s">
        <v>115</v>
      </c>
      <c r="C16" t="s">
        <v>116</v>
      </c>
      <c r="F16" s="1" t="s">
        <v>117</v>
      </c>
      <c r="H16" t="s">
        <v>118</v>
      </c>
    </row>
    <row r="17" spans="1:8" x14ac:dyDescent="0.2">
      <c r="A17" s="1" t="s">
        <v>119</v>
      </c>
      <c r="C17" t="s">
        <v>120</v>
      </c>
      <c r="F17" s="1" t="s">
        <v>58</v>
      </c>
      <c r="H17" t="s">
        <v>121</v>
      </c>
    </row>
    <row r="18" spans="1:8" x14ac:dyDescent="0.2">
      <c r="A18" s="1" t="s">
        <v>122</v>
      </c>
      <c r="C18" t="s">
        <v>123</v>
      </c>
      <c r="F18" s="1" t="s">
        <v>124</v>
      </c>
      <c r="H18" t="s">
        <v>125</v>
      </c>
    </row>
    <row r="19" spans="1:8" x14ac:dyDescent="0.2">
      <c r="A19" s="1" t="s">
        <v>57</v>
      </c>
      <c r="C19" t="s">
        <v>126</v>
      </c>
      <c r="F19" s="1" t="s">
        <v>127</v>
      </c>
      <c r="H19" t="s">
        <v>128</v>
      </c>
    </row>
    <row r="20" spans="1:8" x14ac:dyDescent="0.2">
      <c r="A20" s="1" t="s">
        <v>55</v>
      </c>
      <c r="C20" t="s">
        <v>129</v>
      </c>
      <c r="F20" s="1" t="s">
        <v>130</v>
      </c>
      <c r="H20" t="s">
        <v>131</v>
      </c>
    </row>
    <row r="21" spans="1:8" x14ac:dyDescent="0.2">
      <c r="A21" s="1" t="s">
        <v>132</v>
      </c>
      <c r="C21" t="s">
        <v>133</v>
      </c>
      <c r="F21" s="1" t="s">
        <v>130</v>
      </c>
      <c r="H21" t="s">
        <v>134</v>
      </c>
    </row>
    <row r="22" spans="1:8" x14ac:dyDescent="0.2">
      <c r="A22" s="1" t="s">
        <v>135</v>
      </c>
      <c r="C22" t="s">
        <v>136</v>
      </c>
      <c r="F22" s="1" t="s">
        <v>137</v>
      </c>
      <c r="H22" t="s">
        <v>138</v>
      </c>
    </row>
    <row r="23" spans="1:8" x14ac:dyDescent="0.2">
      <c r="A23" s="1" t="s">
        <v>139</v>
      </c>
      <c r="C23" t="s">
        <v>140</v>
      </c>
      <c r="F23" s="1" t="s">
        <v>141</v>
      </c>
      <c r="H23" t="s">
        <v>142</v>
      </c>
    </row>
    <row r="24" spans="1:8" x14ac:dyDescent="0.2">
      <c r="A24" s="1" t="s">
        <v>143</v>
      </c>
      <c r="C24" t="s">
        <v>144</v>
      </c>
      <c r="F24" s="1" t="s">
        <v>145</v>
      </c>
      <c r="H24" t="s">
        <v>146</v>
      </c>
    </row>
    <row r="25" spans="1:8" x14ac:dyDescent="0.2">
      <c r="A25" s="1" t="s">
        <v>45</v>
      </c>
      <c r="C25" t="s">
        <v>147</v>
      </c>
      <c r="F25" s="1" t="s">
        <v>148</v>
      </c>
      <c r="H25" t="s">
        <v>149</v>
      </c>
    </row>
    <row r="26" spans="1:8" x14ac:dyDescent="0.2">
      <c r="A26" s="1" t="s">
        <v>150</v>
      </c>
      <c r="C26" t="s">
        <v>151</v>
      </c>
      <c r="F26" s="1" t="s">
        <v>152</v>
      </c>
      <c r="H26" t="s">
        <v>153</v>
      </c>
    </row>
    <row r="27" spans="1:8" x14ac:dyDescent="0.2">
      <c r="A27" s="1" t="s">
        <v>154</v>
      </c>
      <c r="C27" t="s">
        <v>155</v>
      </c>
      <c r="F27" s="1" t="s">
        <v>56</v>
      </c>
      <c r="H27" t="s">
        <v>156</v>
      </c>
    </row>
    <row r="28" spans="1:8" x14ac:dyDescent="0.2">
      <c r="A28" s="1" t="s">
        <v>157</v>
      </c>
      <c r="C28" t="s">
        <v>158</v>
      </c>
      <c r="F28" s="1" t="s">
        <v>159</v>
      </c>
      <c r="H28" t="s">
        <v>160</v>
      </c>
    </row>
    <row r="29" spans="1:8" x14ac:dyDescent="0.2">
      <c r="A29" s="1" t="s">
        <v>59</v>
      </c>
      <c r="C29" t="s">
        <v>161</v>
      </c>
      <c r="F29" s="1" t="s">
        <v>162</v>
      </c>
      <c r="H29" t="s">
        <v>163</v>
      </c>
    </row>
    <row r="30" spans="1:8" x14ac:dyDescent="0.2">
      <c r="A30" s="1" t="s">
        <v>29</v>
      </c>
      <c r="C30" t="s">
        <v>164</v>
      </c>
      <c r="F30" s="1" t="s">
        <v>60</v>
      </c>
      <c r="H30" t="s">
        <v>165</v>
      </c>
    </row>
    <row r="31" spans="1:8" x14ac:dyDescent="0.2">
      <c r="F31" s="1" t="s">
        <v>166</v>
      </c>
      <c r="H31" t="s">
        <v>167</v>
      </c>
    </row>
  </sheetData>
  <customSheetViews>
    <customSheetView guid="{D41564A3-D4EB-11D3-8141-00C04F352D9A}" showPageBreaks="1" showRuler="0">
      <selection sqref="A1:I31"/>
      <pageMargins left="0" right="0" top="0" bottom="0" header="0" footer="0"/>
      <printOptions gridLines="1"/>
      <pageSetup orientation="portrait" horizontalDpi="4294967292" r:id="rId1"/>
      <headerFooter alignWithMargins="0">
        <oddHeader>&amp;C&amp;"Arial,Bold"UNIT OF MEASURE LEGEND</oddHeader>
        <oddFooter>Page &amp;P</oddFooter>
      </headerFooter>
    </customSheetView>
  </customSheetViews>
  <phoneticPr fontId="0" type="noConversion"/>
  <printOptions headings="1" gridLines="1" gridLinesSet="0"/>
  <pageMargins left="0.75" right="0.75" top="1" bottom="1" header="0.5" footer="0.5"/>
  <pageSetup orientation="portrait" horizontalDpi="4294967292" r:id="rId2"/>
  <headerFooter alignWithMargins="0">
    <oddHeader>&amp;C&amp;"Arial,Bold"UNIT OF MEASURE LEGEND</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4"/>
  <sheetViews>
    <sheetView workbookViewId="0">
      <selection activeCell="H15" sqref="H15"/>
    </sheetView>
  </sheetViews>
  <sheetFormatPr defaultRowHeight="12.75" x14ac:dyDescent="0.2"/>
  <cols>
    <col min="1" max="1" width="17.140625" customWidth="1"/>
    <col min="2" max="2" width="4.85546875" customWidth="1"/>
    <col min="3" max="3" width="12.5703125" customWidth="1"/>
  </cols>
  <sheetData>
    <row r="1" spans="1:3" x14ac:dyDescent="0.2">
      <c r="A1" s="3" t="s">
        <v>168</v>
      </c>
      <c r="C1" s="3" t="s">
        <v>169</v>
      </c>
    </row>
    <row r="3" spans="1:3" x14ac:dyDescent="0.2">
      <c r="A3" s="26" t="s">
        <v>170</v>
      </c>
      <c r="B3">
        <v>1</v>
      </c>
      <c r="C3" t="s">
        <v>171</v>
      </c>
    </row>
    <row r="4" spans="1:3" x14ac:dyDescent="0.2">
      <c r="A4" s="26" t="s">
        <v>157</v>
      </c>
      <c r="B4">
        <v>2</v>
      </c>
      <c r="C4" t="s">
        <v>172</v>
      </c>
    </row>
    <row r="5" spans="1:3" x14ac:dyDescent="0.2">
      <c r="A5" s="26" t="s">
        <v>173</v>
      </c>
      <c r="B5">
        <v>3</v>
      </c>
      <c r="C5" s="80" t="s">
        <v>174</v>
      </c>
    </row>
    <row r="6" spans="1:3" x14ac:dyDescent="0.2">
      <c r="A6" s="26" t="s">
        <v>175</v>
      </c>
      <c r="B6">
        <v>4</v>
      </c>
      <c r="C6" s="80" t="s">
        <v>176</v>
      </c>
    </row>
    <row r="7" spans="1:3" x14ac:dyDescent="0.2">
      <c r="A7" s="26" t="s">
        <v>177</v>
      </c>
      <c r="B7">
        <v>5</v>
      </c>
      <c r="C7" s="79" t="s">
        <v>178</v>
      </c>
    </row>
    <row r="8" spans="1:3" x14ac:dyDescent="0.2">
      <c r="A8" s="26" t="s">
        <v>179</v>
      </c>
      <c r="B8">
        <v>6</v>
      </c>
      <c r="C8" t="s">
        <v>180</v>
      </c>
    </row>
    <row r="9" spans="1:3" x14ac:dyDescent="0.2">
      <c r="A9" s="26" t="s">
        <v>181</v>
      </c>
      <c r="B9">
        <v>7</v>
      </c>
      <c r="C9" t="s">
        <v>182</v>
      </c>
    </row>
    <row r="10" spans="1:3" x14ac:dyDescent="0.2">
      <c r="A10" s="26" t="s">
        <v>183</v>
      </c>
      <c r="B10">
        <v>8</v>
      </c>
      <c r="C10" t="s">
        <v>184</v>
      </c>
    </row>
    <row r="11" spans="1:3" x14ac:dyDescent="0.2">
      <c r="A11" s="26" t="s">
        <v>185</v>
      </c>
      <c r="B11">
        <v>9</v>
      </c>
      <c r="C11" t="s">
        <v>186</v>
      </c>
    </row>
    <row r="12" spans="1:3" x14ac:dyDescent="0.2">
      <c r="A12" s="26" t="s">
        <v>187</v>
      </c>
      <c r="B12">
        <v>10</v>
      </c>
      <c r="C12" t="s">
        <v>188</v>
      </c>
    </row>
    <row r="13" spans="1:3" x14ac:dyDescent="0.2">
      <c r="A13" s="81" t="s">
        <v>189</v>
      </c>
      <c r="B13" s="79">
        <v>11</v>
      </c>
      <c r="C13" s="80" t="s">
        <v>190</v>
      </c>
    </row>
    <row r="14" spans="1:3" x14ac:dyDescent="0.2">
      <c r="A14" s="87" t="s">
        <v>191</v>
      </c>
      <c r="B14" s="88">
        <v>12</v>
      </c>
      <c r="C14" s="88" t="s">
        <v>192</v>
      </c>
    </row>
  </sheetData>
  <sortState xmlns:xlrd2="http://schemas.microsoft.com/office/spreadsheetml/2017/richdata2" ref="A3:C14">
    <sortCondition ref="B3:B14"/>
  </sortState>
  <customSheetViews>
    <customSheetView guid="{D41564A3-D4EB-11D3-8141-00C04F352D9A}" showPageBreaks="1" showRuler="0">
      <selection sqref="A1:F10"/>
      <pageMargins left="0" right="0" top="0" bottom="0" header="0" footer="0"/>
      <printOptions gridLines="1"/>
      <pageSetup orientation="portrait" horizontalDpi="4294967292" r:id="rId1"/>
      <headerFooter alignWithMargins="0">
        <oddHeader xml:space="preserve">&amp;C&amp;"Arial,Bold"COST TYPE LEGEND&amp;"Arial,Regular"
</oddHeader>
        <oddFooter>Page &amp;P</oddFooter>
      </headerFooter>
    </customSheetView>
  </customSheetViews>
  <phoneticPr fontId="0" type="noConversion"/>
  <printOptions headings="1" gridLines="1" gridLinesSet="0"/>
  <pageMargins left="0.75" right="0.75" top="1" bottom="1" header="0.5" footer="0.5"/>
  <pageSetup orientation="portrait" horizontalDpi="4294967292" r:id="rId2"/>
  <headerFooter alignWithMargins="0">
    <oddHeader xml:space="preserve">&amp;C&amp;"Arial,Bold"COST TYPE LEGEND&amp;"Arial,Regular"
</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DC245B53B90E459CA1950CA3FAB7A3" ma:contentTypeVersion="20" ma:contentTypeDescription="Create a new document." ma:contentTypeScope="" ma:versionID="5ca97fb9899892723ed7b3fd106f9116">
  <xsd:schema xmlns:xsd="http://www.w3.org/2001/XMLSchema" xmlns:xs="http://www.w3.org/2001/XMLSchema" xmlns:p="http://schemas.microsoft.com/office/2006/metadata/properties" xmlns:ns2="eec25027-f503-469b-a8d6-c6a98a70a3f7" xmlns:ns3="0d03746c-7906-4181-bb18-0064709b9702" targetNamespace="http://schemas.microsoft.com/office/2006/metadata/properties" ma:root="true" ma:fieldsID="e1ddcdfbac3fa267d4c1ed8048271dd9" ns2:_="" ns3:_="">
    <xsd:import namespace="eec25027-f503-469b-a8d6-c6a98a70a3f7"/>
    <xsd:import namespace="0d03746c-7906-4181-bb18-0064709b97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3:TaxKeywordTaxHTField" minOccurs="0"/>
                <xsd:element ref="ns3:TaxCatchAll"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25027-f503-469b-a8d6-c6a98a70a3f7"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DateTaken" ma:index="8" nillable="true" ma:displayName="MediaServiceDateTaken" ma:hidden="true" ma:internalName="MediaServiceDateTaken" ma:readOnly="true">
      <xsd:simpleType>
        <xsd:restriction base="dms:Text"/>
      </xsd:simpleType>
    </xsd:element>
    <xsd:element name="MediaServiceAutoTags" ma:index="9" nillable="true" ma:displayName="MediaServiceAutoTags" ma:hidden="true" ma:internalName="MediaServiceAutoTags" ma:readOnly="true">
      <xsd:simpleType>
        <xsd:restriction base="dms:Text"/>
      </xsd:simpleType>
    </xsd:element>
    <xsd:element name="MediaServiceOCR" ma:index="10" nillable="true" ma:displayName="MediaServiceOCR" ma:hidden="true" ma:internalName="MediaServiceOCR" ma:readOnly="true">
      <xsd:simpleType>
        <xsd:restriction base="dms:Note"/>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MediaServiceLocation" ma:hidden="true"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LengthInSeconds" ma:index="21" nillable="true" ma:displayName="Length (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d03746c-7906-4181-bb18-0064709b9702" elementFormDefault="qualified">
    <xsd:import namespace="http://schemas.microsoft.com/office/2006/documentManagement/types"/>
    <xsd:import namespace="http://schemas.microsoft.com/office/infopath/2007/PartnerControls"/>
    <xsd:element name="SharedWithUsers" ma:index="1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hidden="true" ma:internalName="SharedWithDetails" ma:readOnly="true">
      <xsd:simpleType>
        <xsd:restriction base="dms:Note"/>
      </xsd:simpleType>
    </xsd:element>
    <xsd:element name="TaxKeywordTaxHTField" ma:index="14" nillable="true" ma:taxonomy="true" ma:internalName="TaxKeywordTaxHTField" ma:taxonomyFieldName="TaxKeyword" ma:displayName="Enterprise Keywords" ma:readOnly="false" ma:fieldId="{23f27201-bee3-471e-b2e7-b64fd8b7ca38}" ma:taxonomyMulti="true" ma:sspId="80ac7d79-ed14-4551-aacc-f0b8d14a0929" ma:termSetId="00000000-0000-0000-0000-000000000000" ma:anchorId="00000000-0000-0000-0000-000000000000" ma:open="true" ma:isKeyword="true">
      <xsd:complexType>
        <xsd:sequence>
          <xsd:element ref="pc:Terms" minOccurs="0" maxOccurs="1"/>
        </xsd:sequence>
      </xsd:complexType>
    </xsd:element>
    <xsd:element name="TaxCatchAll" ma:index="15" nillable="true" ma:displayName="Taxonomy Catch All Column" ma:hidden="true" ma:list="{43764183-fe2c-4fc1-9096-879425db3ac7}" ma:internalName="TaxCatchAll" ma:readOnly="false" ma:showField="CatchAllData" ma:web="0d03746c-7906-4181-bb18-0064709b97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d03746c-7906-4181-bb18-0064709b9702" xsi:nil="true"/>
    <TaxKeywordTaxHTField xmlns="0d03746c-7906-4181-bb18-0064709b9702">
      <Terms xmlns="http://schemas.microsoft.com/office/infopath/2007/PartnerControls"/>
    </TaxKeywordTaxHTField>
    <SharedWithUsers xmlns="0d03746c-7906-4181-bb18-0064709b9702">
      <UserInfo>
        <DisplayName>Amy Baldwin</DisplayName>
        <AccountId>24</AccountId>
        <AccountType/>
      </UserInfo>
      <UserInfo>
        <DisplayName>Tim Olind</DisplayName>
        <AccountId>982</AccountId>
        <AccountType/>
      </UserInfo>
    </SharedWithUsers>
  </documentManagement>
</p:properties>
</file>

<file path=customXml/itemProps1.xml><?xml version="1.0" encoding="utf-8"?>
<ds:datastoreItem xmlns:ds="http://schemas.openxmlformats.org/officeDocument/2006/customXml" ds:itemID="{7A31B961-3981-4988-AC47-5A8F8D0FF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25027-f503-469b-a8d6-c6a98a70a3f7"/>
    <ds:schemaRef ds:uri="0d03746c-7906-4181-bb18-0064709b97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B13E9F-C389-4682-AFFC-089BD2D9E95D}">
  <ds:schemaRefs>
    <ds:schemaRef ds:uri="http://schemas.microsoft.com/sharepoint/v3/contenttype/forms"/>
  </ds:schemaRefs>
</ds:datastoreItem>
</file>

<file path=customXml/itemProps3.xml><?xml version="1.0" encoding="utf-8"?>
<ds:datastoreItem xmlns:ds="http://schemas.openxmlformats.org/officeDocument/2006/customXml" ds:itemID="{97E5A4F7-D7FC-429F-9387-FEC6260E8202}">
  <ds:schemaRefs>
    <ds:schemaRef ds:uri="http://purl.org/dc/dcmitype/"/>
    <ds:schemaRef ds:uri="http://schemas.openxmlformats.org/package/2006/metadata/core-properties"/>
    <ds:schemaRef ds:uri="0d03746c-7906-4181-bb18-0064709b9702"/>
    <ds:schemaRef ds:uri="http://schemas.microsoft.com/office/2006/documentManagement/types"/>
    <ds:schemaRef ds:uri="http://purl.org/dc/elements/1.1/"/>
    <ds:schemaRef ds:uri="http://purl.org/dc/terms/"/>
    <ds:schemaRef ds:uri="eec25027-f503-469b-a8d6-c6a98a70a3f7"/>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LIST</vt:lpstr>
      <vt:lpstr>UNIT OF MEASURE LEGEND</vt:lpstr>
      <vt:lpstr>COST TYPE LEGEND</vt:lpstr>
      <vt:lpstr>'PHASE LIST'!Print_Area</vt:lpstr>
      <vt:lpstr>'PHASE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Remus</dc:creator>
  <cp:keywords/>
  <dc:description/>
  <cp:lastModifiedBy>Kattie White</cp:lastModifiedBy>
  <cp:revision/>
  <dcterms:created xsi:type="dcterms:W3CDTF">1996-06-11T20:21:10Z</dcterms:created>
  <dcterms:modified xsi:type="dcterms:W3CDTF">2023-09-26T19:29:57Z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0x0101006EDC245B53B90E459CA1950CA3FAB7A3</vt:lpwstr>
  </property>
  <property fmtid="{D5CDD505-2E9C-101B-9397-08002B2CF9AE}" pid="3" name="SS Version">
    <vt:lpwstr>14.5</vt:lpwstr>
  </property>
  <property fmtid="{D5CDD505-2E9C-101B-9397-08002B2CF9AE}" pid="4" name="TaxKeyword">
    <vt:lpwstr/>
  </property>
</Properties>
</file>